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2120" windowHeight="7020" tabRatio="849" firstSheet="5" activeTab="7"/>
  </bookViews>
  <sheets>
    <sheet name="Cover Page" sheetId="1" r:id="rId1"/>
    <sheet name="Installation Checklist" sheetId="2" r:id="rId2"/>
    <sheet name="Return On Investment" sheetId="3" r:id="rId3"/>
    <sheet name="Project Summary-1" sheetId="4" r:id="rId4"/>
    <sheet name="Project Summary-2" sheetId="5" r:id="rId5"/>
    <sheet name="Employment Projections" sheetId="6" r:id="rId6"/>
    <sheet name="SolarCells" sheetId="7" r:id="rId7"/>
    <sheet name="Hyrdrogen Production" sheetId="8" r:id="rId8"/>
    <sheet name="Advertising - Rent" sheetId="9" r:id="rId9"/>
    <sheet name="Energy Calculator" sheetId="10" r:id="rId10"/>
    <sheet name="Water Production" sheetId="11" r:id="rId11"/>
    <sheet name="ProductionTimeLine" sheetId="12" r:id="rId12"/>
    <sheet name="SolarCell per Acre" sheetId="13" r:id="rId13"/>
    <sheet name="Steel and Concrete" sheetId="14" r:id="rId14"/>
    <sheet name="First Year Simplified Budget" sheetId="15" r:id="rId15"/>
    <sheet name="ITC National Network" sheetId="16" r:id="rId16"/>
    <sheet name="National Population" sheetId="17" r:id="rId17"/>
    <sheet name="Routes" sheetId="18" r:id="rId18"/>
    <sheet name="Addressing" sheetId="19" r:id="rId19"/>
    <sheet name="Old ROI" sheetId="20" r:id="rId20"/>
    <sheet name="Carbon Offset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4x4">'[1]Palets'!$F$6</definedName>
    <definedName name="_4X4Paletts">#REF!</definedName>
    <definedName name="_4x4paletts2">'[2]Pallets'!$F$6</definedName>
    <definedName name="_4x4pallets">'[1]Palets'!$F$6</definedName>
    <definedName name="Advertising_Rev.month.per.mile" localSheetId="2">#REF!</definedName>
    <definedName name="Advertising_Rev.month.per.mile">'Advertising - Rent'!$F$18</definedName>
    <definedName name="Advertising_Revenue.per.year.per.mile" localSheetId="2">#REF!</definedName>
    <definedName name="Advertising_Revenue.per.year.per.mile">'Advertising - Rent'!$G$18</definedName>
    <definedName name="Cost_per_Mile_lock__stock__and_barrell" localSheetId="2">#REF!</definedName>
    <definedName name="Cost_per_Mile_lock__stock__and_barrell">'Installation Checklist'!$E$64</definedName>
    <definedName name="Percentage__to_reflect_expected_Passengers_day" localSheetId="2">'Return On Investment'!#REF!</definedName>
    <definedName name="Percentage__to_reflect_expected_Passengers_day">'Old ROI'!$C$36</definedName>
    <definedName name="_xlnm.Print_Area" localSheetId="1">'Installation Checklist'!$A$2:$F$64</definedName>
    <definedName name="Total_Cost_for_InterState_Traveler_Installation">#REF!</definedName>
    <definedName name="Total_cost_Steel_per_ton" localSheetId="2">#REF!</definedName>
    <definedName name="Total_cost_Steel_per_ton">'Steel and Concrete'!$K$34</definedName>
    <definedName name="Total_Revenue__day_mile_for_Passengers_and_Car_Ferry" localSheetId="2">'Return On Investment'!#REF!</definedName>
    <definedName name="Total_Revenue__day_mile_for_Passengers_and_Car_Ferry">'Old ROI'!$C$65</definedName>
    <definedName name="Trans_Rev.per.day.per.mile" localSheetId="20">'[7]ITC National Network'!#REF!</definedName>
    <definedName name="Trans_Rev.per.day.per.mile" localSheetId="5">'[7]ITC National Network'!#REF!</definedName>
    <definedName name="Trans_Rev.per.day.per.mile" localSheetId="9">'[5]ITC National Network'!#REF!</definedName>
    <definedName name="Trans_Rev.per.day.per.mile" localSheetId="14">#REF!</definedName>
    <definedName name="Trans_Rev.per.day.per.mile" localSheetId="3">'[6]ITC National Network'!#REF!</definedName>
    <definedName name="Trans_Rev.per.day.per.mile" localSheetId="4">'[7]ITC National Network'!#REF!</definedName>
    <definedName name="Trans_Rev.per.day.per.mile" localSheetId="2">'[4]ITC National Network'!#REF!</definedName>
    <definedName name="Trans_Rev.per.day.per.mile">'ITC National Network'!#REF!</definedName>
    <definedName name="TwinRail_Output">'SolarCells'!$E$17</definedName>
    <definedName name="Typical_Costs_for_Steel_per_ton" localSheetId="2">#REF!</definedName>
    <definedName name="Typical_Costs_for_Steel_per_ton">'Steel and Concrete'!$C$34</definedName>
  </definedNames>
  <calcPr fullCalcOnLoad="1"/>
</workbook>
</file>

<file path=xl/comments10.xml><?xml version="1.0" encoding="utf-8"?>
<comments xmlns="http://schemas.openxmlformats.org/spreadsheetml/2006/main">
  <authors>
    <author>Justin Sutton</author>
  </authors>
  <commentList>
    <comment ref="C8" authorId="0">
      <text>
        <r>
          <rPr>
            <b/>
            <sz val="8"/>
            <rFont val="Tahoma"/>
            <family val="0"/>
          </rPr>
          <t>Justin Sutton:</t>
        </r>
        <r>
          <rPr>
            <sz val="8"/>
            <rFont val="Tahoma"/>
            <family val="0"/>
          </rPr>
          <t xml:space="preserve">
Set at 12
</t>
        </r>
      </text>
    </comment>
    <comment ref="C12" authorId="0">
      <text>
        <r>
          <rPr>
            <b/>
            <sz val="8"/>
            <rFont val="Tahoma"/>
            <family val="0"/>
          </rPr>
          <t>Justin Sutton:</t>
        </r>
        <r>
          <rPr>
            <sz val="8"/>
            <rFont val="Tahoma"/>
            <family val="0"/>
          </rPr>
          <t xml:space="preserve">
Set At 54,000 for a "National" system estimate
</t>
        </r>
      </text>
    </comment>
  </commentList>
</comments>
</file>

<file path=xl/sharedStrings.xml><?xml version="1.0" encoding="utf-8"?>
<sst xmlns="http://schemas.openxmlformats.org/spreadsheetml/2006/main" count="1346" uniqueCount="1054">
  <si>
    <t>Revenue All Transports/ Annually</t>
  </si>
  <si>
    <t>Revenue for all Freight Transports</t>
  </si>
  <si>
    <t>Interstate Traveler Co. LLC</t>
  </si>
  <si>
    <t xml:space="preserve"> Rail Return On Investment via Fairbox Collections, Freight, Rent, Advertising</t>
  </si>
  <si>
    <r>
      <t>Grow budget by</t>
    </r>
    <r>
      <rPr>
        <i/>
        <sz val="12"/>
        <rFont val="Arial"/>
        <family val="2"/>
      </rPr>
      <t xml:space="preserve"> x</t>
    </r>
    <r>
      <rPr>
        <i/>
        <sz val="10"/>
        <rFont val="Arial"/>
        <family val="2"/>
      </rPr>
      <t xml:space="preserve"> percent:</t>
    </r>
  </si>
  <si>
    <t>Total Production Time to make and all parts in Months</t>
  </si>
  <si>
    <t>Years  (production)</t>
  </si>
  <si>
    <t>Total Months Until Fully Full System is installed Operational</t>
  </si>
  <si>
    <t>Total in Years Until Fully Full System is installed Operational</t>
  </si>
  <si>
    <t>Annual Revenue</t>
  </si>
  <si>
    <t>ROI in Years if apeared overnight</t>
  </si>
  <si>
    <t>Rail Installation Analysis</t>
  </si>
  <si>
    <t>Rail and Utility Substation Costs/Kilometer</t>
  </si>
  <si>
    <t>Transports</t>
  </si>
  <si>
    <t>Rail Installation Check List</t>
  </si>
  <si>
    <t xml:space="preserve">Interstate Traveler Company </t>
  </si>
  <si>
    <t xml:space="preserve"> Rail Installation Summary</t>
  </si>
  <si>
    <t>ROI in Years</t>
  </si>
  <si>
    <r>
      <t xml:space="preserve">Freight Transports Total Projected Use </t>
    </r>
    <r>
      <rPr>
        <b/>
        <sz val="10"/>
        <rFont val="Arial"/>
        <family val="2"/>
      </rPr>
      <t>Annually</t>
    </r>
  </si>
  <si>
    <r>
      <t xml:space="preserve">Pedestrian Total Projected Use </t>
    </r>
    <r>
      <rPr>
        <b/>
        <sz val="10"/>
        <rFont val="Arial"/>
        <family val="2"/>
      </rPr>
      <t>Hourly</t>
    </r>
  </si>
  <si>
    <t>Ton/Miles per Year</t>
  </si>
  <si>
    <t>The Interstate Traveler Project</t>
  </si>
  <si>
    <t xml:space="preserve"> </t>
  </si>
  <si>
    <t>Created by:  Justin Eric Sutton</t>
  </si>
  <si>
    <t>9594 Main Street</t>
  </si>
  <si>
    <t>Whitmore Lake, MI 48189</t>
  </si>
  <si>
    <t xml:space="preserve">  </t>
  </si>
  <si>
    <t>734-449-4480   Office</t>
  </si>
  <si>
    <t>734-449-4486   Fax</t>
  </si>
  <si>
    <t>JustinEricSutton@msn.com</t>
  </si>
  <si>
    <t>Grow budget by  x  percent:</t>
  </si>
  <si>
    <t>Steps:</t>
  </si>
  <si>
    <t>Passenger Fee / Mile</t>
  </si>
  <si>
    <t>Dollars  Total Revenue</t>
  </si>
  <si>
    <t>Operational Expenses</t>
  </si>
  <si>
    <t>% Percentage of Total Revenue</t>
  </si>
  <si>
    <t>Cars from Costs Page</t>
  </si>
  <si>
    <t>Revenue per mile/Passenger</t>
  </si>
  <si>
    <t>Passengers Per Car</t>
  </si>
  <si>
    <t>People</t>
  </si>
  <si>
    <t>Miles</t>
  </si>
  <si>
    <t>Average Speed of Car</t>
  </si>
  <si>
    <t>Miles/Hour</t>
  </si>
  <si>
    <t>Hours</t>
  </si>
  <si>
    <t>Increases with distance traveled</t>
  </si>
  <si>
    <t>Miles/Day by One Car</t>
  </si>
  <si>
    <t>Miles/Day by All Cars</t>
  </si>
  <si>
    <t>Number Cars times Number of Passengers</t>
  </si>
  <si>
    <t>For every Mile Traveled</t>
  </si>
  <si>
    <t>Distance</t>
  </si>
  <si>
    <t>Feet</t>
  </si>
  <si>
    <t>1 Mile</t>
  </si>
  <si>
    <t>1 Kilometer</t>
  </si>
  <si>
    <t>1 mile = 5,280 feet      1 Kilometer = 3278 feet</t>
  </si>
  <si>
    <t>One Kilometer is equal to…</t>
  </si>
  <si>
    <t>Qty</t>
  </si>
  <si>
    <t>Units</t>
  </si>
  <si>
    <t>Description</t>
  </si>
  <si>
    <t>Cost</t>
  </si>
  <si>
    <t>Amount</t>
  </si>
  <si>
    <t>Notes</t>
  </si>
  <si>
    <t>foot</t>
  </si>
  <si>
    <t>Independence Tube Corporation</t>
  </si>
  <si>
    <t>Number of Pairs of Rail</t>
  </si>
  <si>
    <t>Stanchion</t>
  </si>
  <si>
    <t>Steel per Kilometer</t>
  </si>
  <si>
    <t>Kilometer</t>
  </si>
  <si>
    <t>AMSC HTS Super Conductor Wire</t>
  </si>
  <si>
    <t>Solar Panel 72" wide x  1 Kilometer long.</t>
  </si>
  <si>
    <t>Fiber Optics</t>
  </si>
  <si>
    <t>Units/Kilometer</t>
  </si>
  <si>
    <t>Labor/Kilometer</t>
  </si>
  <si>
    <t>100 people working simultaneously / 1 week</t>
  </si>
  <si>
    <t>$52k / Annual Salary equivalent  or $1K / week</t>
  </si>
  <si>
    <t>Solid-state Magnets</t>
  </si>
  <si>
    <t>Total cost of the InterState Traveler /Kilometers</t>
  </si>
  <si>
    <t>Each</t>
  </si>
  <si>
    <t>Grand Terminal Stations</t>
  </si>
  <si>
    <t>Grand Public Car</t>
  </si>
  <si>
    <t>Commuter Public Car</t>
  </si>
  <si>
    <t>Car Ferry</t>
  </si>
  <si>
    <t>Total Commute Cars</t>
  </si>
  <si>
    <t>Total Cost for InterState Traveler Installation</t>
  </si>
  <si>
    <t>Total Car Ferry</t>
  </si>
  <si>
    <r>
      <t xml:space="preserve">A </t>
    </r>
    <r>
      <rPr>
        <b/>
        <i/>
        <sz val="16"/>
        <rFont val="Arial"/>
        <family val="2"/>
      </rPr>
      <t>cycle</t>
    </r>
    <r>
      <rPr>
        <b/>
        <sz val="16"/>
        <rFont val="Arial"/>
        <family val="2"/>
      </rPr>
      <t xml:space="preserve"> is defined as a single passenger paying for one mile of travel.</t>
    </r>
  </si>
  <si>
    <t>Number of Commuter Cars:</t>
  </si>
  <si>
    <t>Max Passengers Per Car</t>
  </si>
  <si>
    <t>Minutes</t>
  </si>
  <si>
    <t>Percent increase if at capacity (cars)</t>
  </si>
  <si>
    <t>Operational Expenses Budgetary Fund / Day</t>
  </si>
  <si>
    <t>Operational Expenses/ Year</t>
  </si>
  <si>
    <t>Annual Gross Revenue</t>
  </si>
  <si>
    <t>Number of Miles</t>
  </si>
  <si>
    <t>Kilometers</t>
  </si>
  <si>
    <t>Solar Array Potential Calculator</t>
  </si>
  <si>
    <t>One Mile</t>
  </si>
  <si>
    <t>5280 Feet</t>
  </si>
  <si>
    <t>One Kilometer</t>
  </si>
  <si>
    <t>3278 Feet</t>
  </si>
  <si>
    <t>Watts</t>
  </si>
  <si>
    <t>Amps</t>
  </si>
  <si>
    <t>Volts</t>
  </si>
  <si>
    <t>Cost/Lineal Foot</t>
  </si>
  <si>
    <t>Number of Feet</t>
  </si>
  <si>
    <t>Total Output in Watts</t>
  </si>
  <si>
    <t>Total Output in Amps</t>
  </si>
  <si>
    <t>Total Output in Volts</t>
  </si>
  <si>
    <t>Total Cost Retail</t>
  </si>
  <si>
    <r>
      <t>Kyocera 120W</t>
    </r>
    <r>
      <rPr>
        <sz val="10"/>
        <rFont val="Arial"/>
        <family val="0"/>
      </rPr>
      <t>: 7.1A, 16.9V (56.1" x 25.7")</t>
    </r>
  </si>
  <si>
    <t>The above described Kyocera Solar Cell is for estated figures only.</t>
  </si>
  <si>
    <t>http://pvsolarmodules.com/kyocera.html</t>
  </si>
  <si>
    <t>cost / watt</t>
  </si>
  <si>
    <t>DC / Hour</t>
  </si>
  <si>
    <t>A Volt is equal to Watts divided by Amps</t>
  </si>
  <si>
    <t>Total Number of Kilometers</t>
  </si>
  <si>
    <t>Total Output in Volts for Entire System</t>
  </si>
  <si>
    <t>Miles to Kilometers,  Kilometers to Miles</t>
  </si>
  <si>
    <t>QTY</t>
  </si>
  <si>
    <t>Enter Miles</t>
  </si>
  <si>
    <t>Enter Kilometers</t>
  </si>
  <si>
    <t>length</t>
  </si>
  <si>
    <t>width</t>
  </si>
  <si>
    <t>Area</t>
  </si>
  <si>
    <t>Watts/sqft</t>
  </si>
  <si>
    <t>Total Watts</t>
  </si>
  <si>
    <t>Total Sqft</t>
  </si>
  <si>
    <t>Square feet per Mile</t>
  </si>
  <si>
    <t>Square feet per Kilometer</t>
  </si>
  <si>
    <t>Hydrogen Production</t>
  </si>
  <si>
    <t>kWh</t>
  </si>
  <si>
    <t>cuMeter Hydrogen</t>
  </si>
  <si>
    <t>Watts/cuM Hydrogen</t>
  </si>
  <si>
    <t xml:space="preserve">Electrolysis at 1.48 volts (corresponding to 3.5 kWh per normal cubic metre of hydrogen) would be 100% efficient in the conventional sense. </t>
  </si>
  <si>
    <t xml:space="preserve">http://www.stuartenergy.com/hydrogen/techreview.asp </t>
  </si>
  <si>
    <t>Change values in yellow to see all figures update</t>
  </si>
  <si>
    <t>Section Length (Feet)</t>
  </si>
  <si>
    <t xml:space="preserve">Cost per Section </t>
  </si>
  <si>
    <t>Cost per foot</t>
  </si>
  <si>
    <t>Projected Revenue / Day  at Capacity (cars)</t>
  </si>
  <si>
    <t>Projected Revenue/Mile/ all cars</t>
  </si>
  <si>
    <t>Time to tool up manufacturing in Months</t>
  </si>
  <si>
    <t>Number of Car Ferries</t>
  </si>
  <si>
    <t>Dollars after Operational expenses</t>
  </si>
  <si>
    <t>Remaining Passenger Capacity (cars)</t>
  </si>
  <si>
    <r>
      <t>Operational Expenses</t>
    </r>
    <r>
      <rPr>
        <sz val="8"/>
        <rFont val="Arial"/>
        <family val="2"/>
      </rPr>
      <t xml:space="preserve"> (step 2 above)</t>
    </r>
  </si>
  <si>
    <t>Unit Conversions</t>
  </si>
  <si>
    <t xml:space="preserve">http://www.time.com/time/business/article/0,8599,185650,00.html </t>
  </si>
  <si>
    <t>Rails</t>
  </si>
  <si>
    <t>10" x 5/8ths wall x 1 foot  Round Tubing</t>
  </si>
  <si>
    <t>Cost per Foot Steel Only</t>
  </si>
  <si>
    <t>Steel for Rail Tubing  / Stanchion / Central Support</t>
  </si>
  <si>
    <t xml:space="preserve">Supplemental Conduit </t>
  </si>
  <si>
    <t>$1 / per foot</t>
  </si>
  <si>
    <r>
      <t xml:space="preserve">Budget&gt;&gt; </t>
    </r>
    <r>
      <rPr>
        <sz val="12"/>
        <rFont val="Arial"/>
        <family val="0"/>
      </rPr>
      <t>Cost for Installation from Detroit to Muskegon</t>
    </r>
  </si>
  <si>
    <t>Total Months Until Operational</t>
  </si>
  <si>
    <t>Number of Stanchions per Kilometer</t>
  </si>
  <si>
    <t>Same Number of Concrete Piers</t>
  </si>
  <si>
    <t>Concrete Pier is 3x3x12 feet equals 4 cuyards ea</t>
  </si>
  <si>
    <t>Cost per Kilometer All Piers</t>
  </si>
  <si>
    <t>Concrete 3'x3' x 12' concrete Piers</t>
  </si>
  <si>
    <t>Total Time Saved</t>
  </si>
  <si>
    <t>Value of Time saved at $20/hour</t>
  </si>
  <si>
    <t>Sections / Day</t>
  </si>
  <si>
    <t>Amount / Year</t>
  </si>
  <si>
    <t>Amount / Month</t>
  </si>
  <si>
    <t>Days/week</t>
  </si>
  <si>
    <t>Total Feet / Year</t>
  </si>
  <si>
    <t>Total Kilometers / Year</t>
  </si>
  <si>
    <t>Target</t>
  </si>
  <si>
    <t>Years to Build</t>
  </si>
  <si>
    <t>Months to Build</t>
  </si>
  <si>
    <t>Steel &amp; Concrete</t>
  </si>
  <si>
    <r>
      <t xml:space="preserve">Revenue </t>
    </r>
    <r>
      <rPr>
        <b/>
        <i/>
        <sz val="10"/>
        <rFont val="Arial"/>
        <family val="2"/>
      </rPr>
      <t>All Cars</t>
    </r>
    <r>
      <rPr>
        <sz val="10"/>
        <rFont val="Arial"/>
        <family val="2"/>
      </rPr>
      <t xml:space="preserve"> / Day</t>
    </r>
  </si>
  <si>
    <r>
      <t xml:space="preserve">Revenue </t>
    </r>
    <r>
      <rPr>
        <b/>
        <i/>
        <sz val="10"/>
        <rFont val="Arial"/>
        <family val="2"/>
      </rPr>
      <t>All Car Ferries</t>
    </r>
    <r>
      <rPr>
        <sz val="10"/>
        <rFont val="Arial"/>
        <family val="2"/>
      </rPr>
      <t xml:space="preserve"> / Day</t>
    </r>
  </si>
  <si>
    <t>TwinRail Output</t>
  </si>
  <si>
    <t>Watts/day</t>
  </si>
  <si>
    <t>Average Home</t>
  </si>
  <si>
    <t>Number of Homes Covered</t>
  </si>
  <si>
    <t>Value of a Kilowatt</t>
  </si>
  <si>
    <t>Total Value</t>
  </si>
  <si>
    <t>Value of a Watt</t>
  </si>
  <si>
    <t>Total Value TwinRail</t>
  </si>
  <si>
    <t>Entire System Total Number of Kilometer</t>
  </si>
  <si>
    <t>Watts/hour-peek</t>
  </si>
  <si>
    <t>Total wattage output of the Interstate Traveler Rail Conduit Cluster</t>
  </si>
  <si>
    <t>Cost per Mile for Continuous Ribbon</t>
  </si>
  <si>
    <t>Cost per Cubic Yard</t>
  </si>
  <si>
    <t>Costs Per Concrete Pier</t>
  </si>
  <si>
    <t>Cost per Kilometer for Continuous Ribbon</t>
  </si>
  <si>
    <t>Full Production Estimates</t>
  </si>
  <si>
    <t>Production Estimates Time Line</t>
  </si>
  <si>
    <t xml:space="preserve">www.InterstateTraveler.us </t>
  </si>
  <si>
    <t>Return On Investment via Fairbox Collections</t>
  </si>
  <si>
    <t>Stanchion Poles at 30 foot High  Two Way Traffic</t>
  </si>
  <si>
    <t>about 12 watts / Square foot</t>
  </si>
  <si>
    <t>Efficiency of PEM Fuel Cell Stacks</t>
  </si>
  <si>
    <t>500w</t>
  </si>
  <si>
    <t>Flow</t>
  </si>
  <si>
    <t>Liters/Minute</t>
  </si>
  <si>
    <t>Efficientcy at Full Power</t>
  </si>
  <si>
    <t xml:space="preserve">http://www.fuelcellstore.com/cgi-bin/fuelweb/view=item/cat=23/subcat=26/product=181 </t>
  </si>
  <si>
    <t>electical output for 10 sqfeet</t>
  </si>
  <si>
    <t>Average Gross Vechicle Weight</t>
  </si>
  <si>
    <t>lbs</t>
  </si>
  <si>
    <t>Revenue per mile/GVW Car Ferry</t>
  </si>
  <si>
    <t>Cost Per Pound / mile for Car Ferry</t>
  </si>
  <si>
    <t>Consumer Fee For Use on a Trip</t>
  </si>
  <si>
    <r>
      <t xml:space="preserve">Number of Lbs. moved per Day ( all </t>
    </r>
    <r>
      <rPr>
        <b/>
        <sz val="10"/>
        <rFont val="Arial"/>
        <family val="2"/>
      </rPr>
      <t>ferries</t>
    </r>
    <r>
      <rPr>
        <sz val="10"/>
        <rFont val="Arial"/>
        <family val="0"/>
      </rPr>
      <t>)</t>
    </r>
  </si>
  <si>
    <t>Length ft. / Section</t>
  </si>
  <si>
    <t>Rails required for two way traffic</t>
  </si>
  <si>
    <t>Total Feet / Week</t>
  </si>
  <si>
    <t>Kilomters / Week</t>
  </si>
  <si>
    <t>Number of Passengers riding (cars) Occupancy</t>
  </si>
  <si>
    <t>Total Revenue Per Day -Both Cars and Ferries</t>
  </si>
  <si>
    <t>Projected Revenue/ Day ( All Cars)</t>
  </si>
  <si>
    <t>Projected Revenue/ Day ( All Ferries)</t>
  </si>
  <si>
    <r>
      <t xml:space="preserve">Return on Investment in </t>
    </r>
    <r>
      <rPr>
        <b/>
        <sz val="12"/>
        <rFont val="Arial"/>
        <family val="0"/>
      </rPr>
      <t>Months</t>
    </r>
    <r>
      <rPr>
        <sz val="12"/>
        <rFont val="Arial"/>
        <family val="0"/>
      </rPr>
      <t xml:space="preserve"> after made Operational</t>
    </r>
  </si>
  <si>
    <t>$ / lb</t>
  </si>
  <si>
    <t>Average Distance of Trip for Peddestrian</t>
  </si>
  <si>
    <t>Average Distance of Trip for Car Ferry</t>
  </si>
  <si>
    <t>Time to Complete a Trip in  Hours Car</t>
  </si>
  <si>
    <t>Time to Complete a Trip Minutes Car</t>
  </si>
  <si>
    <t>Time to Complete a Trip in  Hours Car Ferry</t>
  </si>
  <si>
    <t>Time to Complete a Trip Minutes Car Ferry</t>
  </si>
  <si>
    <t>Average Speed of Car Ferry</t>
  </si>
  <si>
    <t>Miles / Hour</t>
  </si>
  <si>
    <t>Total Time Saved vs. Driving your Car</t>
  </si>
  <si>
    <t>Time to make trip if traveling 50 mph average Car</t>
  </si>
  <si>
    <t>Time to make trip if traveling 50 mph  vs.  Car Ferry</t>
  </si>
  <si>
    <t>Saved Minutes</t>
  </si>
  <si>
    <t>Valuable Time Savings</t>
  </si>
  <si>
    <t>Total Years Until Operational</t>
  </si>
  <si>
    <r>
      <t xml:space="preserve">Total Revenue at </t>
    </r>
    <r>
      <rPr>
        <b/>
        <sz val="10"/>
        <rFont val="Arial"/>
        <family val="2"/>
      </rPr>
      <t>Capacity</t>
    </r>
    <r>
      <rPr>
        <sz val="10"/>
        <rFont val="Arial"/>
        <family val="0"/>
      </rPr>
      <t xml:space="preserve">  Per Day</t>
    </r>
  </si>
  <si>
    <t>Unforsene Delays for Installation in Months</t>
  </si>
  <si>
    <t>Peek time is considered to be 11am to 2pm</t>
  </si>
  <si>
    <t>Total Watts/hour</t>
  </si>
  <si>
    <t>Total cuMeters/hour</t>
  </si>
  <si>
    <t>Total Value/hour</t>
  </si>
  <si>
    <t>Assumptions</t>
  </si>
  <si>
    <t>Above production is assumed that 100 utility substations will have suffecient electrolysis processing available.</t>
  </si>
  <si>
    <t>Number of Substations</t>
  </si>
  <si>
    <t>Total cuMeters</t>
  </si>
  <si>
    <t>Total cuM/Station/hr</t>
  </si>
  <si>
    <t>CuMeter/Station/Hr at Capacity</t>
  </si>
  <si>
    <t xml:space="preserve">http://www.stuartenergy.com/technology/tech_platforms.html </t>
  </si>
  <si>
    <t>Sitework / demolition / adjustment to overhead lines</t>
  </si>
  <si>
    <t>747 watts/1hp</t>
  </si>
  <si>
    <t>Horse Power</t>
  </si>
  <si>
    <t>Total Length</t>
  </si>
  <si>
    <t>Total HP</t>
  </si>
  <si>
    <t>Compounds always contain same elements in same proportion by mass.</t>
  </si>
  <si>
    <t>—eg. Water always contains 11.2% hydrogen and 88.8% oxygen by mass.</t>
  </si>
  <si>
    <t>Therefore 100 grams of water containes 11.2 grams of hydrogen, and 88.8 grams oxygen</t>
  </si>
  <si>
    <t>This will tell me how much water.</t>
  </si>
  <si>
    <t>Ratio of Hydrogen to oxygen in Water</t>
  </si>
  <si>
    <t>Hydrogen</t>
  </si>
  <si>
    <t>Oxygen</t>
  </si>
  <si>
    <t>http://www.physlink.com/Education/AskExperts/ae367.cfm</t>
  </si>
  <si>
    <t>http://mathforum.org/library/drmath/view/56329.html</t>
  </si>
  <si>
    <t>8.34 pounds of water per gallon</t>
  </si>
  <si>
    <t>1 gram / cubic centimeter</t>
  </si>
  <si>
    <t>3785 cubic centemeters/gallon</t>
  </si>
  <si>
    <t>1000 grams is equal to 2.2 pounds</t>
  </si>
  <si>
    <t>1 lb H2 = about 15.3 kilowatt-hours lower heating value (about 52,000 BTU)</t>
  </si>
  <si>
    <t>Assuming a nice 80% efficiency, 197,000 kilowatts into an electrolyzer will generate about 10,300 lbs/hour of H2, which (x9) yields about 98,000 lbs/hour of water, or about 11,000 gallons per hour.</t>
  </si>
  <si>
    <t>Total Stations</t>
  </si>
  <si>
    <t>Total Miles</t>
  </si>
  <si>
    <t>Total Kilometers</t>
  </si>
  <si>
    <t>Hydrogen Units</t>
  </si>
  <si>
    <t>Dollars/H2 Unit</t>
  </si>
  <si>
    <t>Projected Revenue/ Day ( All Cars)/ Trip</t>
  </si>
  <si>
    <t>Projected Revenue/ Day ( All Cars)/ passenger mile</t>
  </si>
  <si>
    <t>Cars/mile</t>
  </si>
  <si>
    <t>ITC National Network</t>
  </si>
  <si>
    <t>Change figures in Yellow to adjust totals.</t>
  </si>
  <si>
    <t>Percent sold</t>
  </si>
  <si>
    <t>cars</t>
  </si>
  <si>
    <t>watt\mile</t>
  </si>
  <si>
    <t>\gallons\mile</t>
  </si>
  <si>
    <t>$\mile</t>
  </si>
  <si>
    <t>Enter value (per unit) here to adjust estimates:</t>
  </si>
  <si>
    <t>\watt\hour</t>
  </si>
  <si>
    <t>\kilogram</t>
  </si>
  <si>
    <t>\gallon</t>
  </si>
  <si>
    <t>Trips\day</t>
  </si>
  <si>
    <t>State</t>
  </si>
  <si>
    <t>Interstate miles</t>
  </si>
  <si>
    <t>Total Highway Miles</t>
  </si>
  <si>
    <t>Electricity Revenue\hour</t>
  </si>
  <si>
    <t>Electricity Revenue/year</t>
  </si>
  <si>
    <t>Hydrogen Revenue\hour</t>
  </si>
  <si>
    <t>H2 Revenue/year</t>
  </si>
  <si>
    <t>Advertising Revenue\mile\month</t>
  </si>
  <si>
    <t>Advertising Revenue\mile\Year</t>
  </si>
  <si>
    <t>ROI</t>
  </si>
  <si>
    <t>Per mile             1</t>
  </si>
  <si>
    <t>calculated at 8 hours/day</t>
  </si>
  <si>
    <t>AL</t>
  </si>
  <si>
    <t>AK</t>
  </si>
  <si>
    <t>AZ</t>
  </si>
  <si>
    <t>AR</t>
  </si>
  <si>
    <t>CA</t>
  </si>
  <si>
    <t>CO</t>
  </si>
  <si>
    <t>CN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</si>
  <si>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</si>
  <si>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</si>
  <si>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</si>
  <si>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</si>
  <si>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</si>
  <si>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</si>
  <si>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</si>
  <si>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</si>
  <si>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</si>
  <si>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</si>
  <si>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</si>
  <si>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</si>
  <si>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</si>
  <si>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</si>
  <si>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</si>
  <si>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</si>
  <si>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</si>
  <si>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</si>
  <si>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</si>
  <si>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</si>
  <si>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</si>
  <si>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</si>
  <si>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</si>
  <si>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</si>
  <si>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</si>
  <si>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</si>
  <si>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</si>
  <si>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</si>
  <si>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</si>
  <si>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</si>
  <si>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</si>
  <si>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</si>
  <si>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</si>
  <si>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</si>
  <si>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</si>
  <si>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</si>
  <si>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</si>
  <si>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</si>
  <si>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 xml:space="preserve">VT </t>
  </si>
  <si>
    <t>VA</t>
  </si>
  <si>
    <t>WA</t>
  </si>
  <si>
    <t>WV</t>
  </si>
  <si>
    <t>WI</t>
  </si>
  <si>
    <t>WY</t>
  </si>
  <si>
    <t>PR</t>
  </si>
  <si>
    <t>Projected Revenue/Mile/ all cars w/permile fee</t>
  </si>
  <si>
    <t>Advertising Revenue Calculations</t>
  </si>
  <si>
    <t>Source</t>
  </si>
  <si>
    <t>Banner/Billboard Advertising</t>
  </si>
  <si>
    <t>Advertising Grand Public Car</t>
  </si>
  <si>
    <t>Advertising Commuter Public Car</t>
  </si>
  <si>
    <t>Advertising Car Ferry</t>
  </si>
  <si>
    <t>Traveler Stations</t>
  </si>
  <si>
    <t>Utilty Substations</t>
  </si>
  <si>
    <t>Car Ramps</t>
  </si>
  <si>
    <t>Parking Lots</t>
  </si>
  <si>
    <t>Amount/Month</t>
  </si>
  <si>
    <t>Total/Month</t>
  </si>
  <si>
    <t>Total/Year</t>
  </si>
  <si>
    <t>Total /day</t>
  </si>
  <si>
    <t>Year</t>
  </si>
  <si>
    <t>Month</t>
  </si>
  <si>
    <t>Day</t>
  </si>
  <si>
    <t xml:space="preserve">Revenue / Mile </t>
  </si>
  <si>
    <t>Total Passengers / Day for all cars (Trips)</t>
  </si>
  <si>
    <t>Percentage  to reflect expected Passengers/day</t>
  </si>
  <si>
    <t>Actual Anticipated Ridership for all cars (Trips/day)</t>
  </si>
  <si>
    <t>Total Passengers / Day for all cars (Trips/day) @ Capacity</t>
  </si>
  <si>
    <t>#Cost_per_Mile_lock__stock__and_barrell</t>
  </si>
  <si>
    <t>total Miles of track for this estimate:</t>
  </si>
  <si>
    <t>total Kilometers of track for this estimate:</t>
  </si>
  <si>
    <t>Manufactured Rail Sections in Feet Steel Only</t>
  </si>
  <si>
    <t>Length of Rail (Section)</t>
  </si>
  <si>
    <t>Cost per Section Steel Only</t>
  </si>
  <si>
    <t>Estimated $1200.00/ plate</t>
  </si>
  <si>
    <t>Figured at 60 foot x $30/foot</t>
  </si>
  <si>
    <t>Number of Yards per Pier</t>
  </si>
  <si>
    <t>Cloverleaf Stations "Traveler Station"</t>
  </si>
  <si>
    <t>Convert Miles to Kilometers,  Kilometers to Miles</t>
  </si>
  <si>
    <t>Percent to Public</t>
  </si>
  <si>
    <t>Rent Revenue Calculations</t>
  </si>
  <si>
    <t>Rent at Cloverleafs\mile\year</t>
  </si>
  <si>
    <t>Conduit Cluster Revenue\Mile\Year</t>
  </si>
  <si>
    <t>Water Rev/day/mile</t>
  </si>
  <si>
    <t>Water Rev / year</t>
  </si>
  <si>
    <t>Total Revenue/year</t>
  </si>
  <si>
    <t>Revenue / Trip / Single Pedestrian Passenger  $ per mile</t>
  </si>
  <si>
    <t>Revenue / Trip GVW / Car Ferry  $ per mile</t>
  </si>
  <si>
    <t>Total Trips per Day for Car Ferry @ Capacity</t>
  </si>
  <si>
    <t>Percentage  to reflect expected Car Ferry Use /day</t>
  </si>
  <si>
    <t>Actual Anticipated Car Ferry Use / Day</t>
  </si>
  <si>
    <t>Passenger Fee / Day</t>
  </si>
  <si>
    <t>Car Ferry Fee / Day</t>
  </si>
  <si>
    <t>Passenger Revenue per Day at $5 per trip</t>
  </si>
  <si>
    <t>Passenger Revenue per Month at $5 per trip</t>
  </si>
  <si>
    <t>Passenger Revenue per Year at $5 per trip</t>
  </si>
  <si>
    <t>Car Ferry Revenue per Day</t>
  </si>
  <si>
    <t xml:space="preserve"> Passenger Revenue/day/mile</t>
  </si>
  <si>
    <t>Car Ferry Revenue per Month</t>
  </si>
  <si>
    <t>Car Ferry Revenue / day / mile</t>
  </si>
  <si>
    <t>Total Revenue /day/mile for Passengers and Car Ferry</t>
  </si>
  <si>
    <t>Totals</t>
  </si>
  <si>
    <t>Percent of Total Revenue</t>
  </si>
  <si>
    <t>Total Revenue after Public Payment</t>
  </si>
  <si>
    <t>Total Horsepower</t>
  </si>
  <si>
    <t>hp</t>
  </si>
  <si>
    <t>Width in Feet</t>
  </si>
  <si>
    <t>Watts/Sq Ft</t>
  </si>
  <si>
    <t>Horse Power/car</t>
  </si>
  <si>
    <t>Cars per mile by horsepower</t>
  </si>
  <si>
    <t>Total Squareft</t>
  </si>
  <si>
    <t>Entire System Total Number of Mile</t>
  </si>
  <si>
    <t>Total Number of Cars by Horse Power</t>
  </si>
  <si>
    <t>Volts/hour</t>
  </si>
  <si>
    <r>
      <t xml:space="preserve">Return on Investment </t>
    </r>
    <r>
      <rPr>
        <b/>
        <sz val="12"/>
        <rFont val="Arial"/>
        <family val="0"/>
      </rPr>
      <t>Years Including Startup time</t>
    </r>
  </si>
  <si>
    <t>Total Revenue / Year for Passengers and Cars</t>
  </si>
  <si>
    <t>Car Ferry Revenue per Year</t>
  </si>
  <si>
    <t>Total Annual Revenue</t>
  </si>
  <si>
    <t>Annual ROI</t>
  </si>
  <si>
    <t>Years</t>
  </si>
  <si>
    <t>Time to make and all parts in Months</t>
  </si>
  <si>
    <t>years</t>
  </si>
  <si>
    <t>Projected Revenue  30 Day  $ per mile</t>
  </si>
  <si>
    <t>Projected Revenue  One Year  at $ per mile</t>
  </si>
  <si>
    <t>Payment Fund</t>
  </si>
  <si>
    <t>Annual ROI using Payment Fund</t>
  </si>
  <si>
    <t>H2 @ 8 hours/day</t>
  </si>
  <si>
    <t>Freight Annual /mile/year</t>
  </si>
  <si>
    <t>1  car per mile</t>
  </si>
  <si>
    <t>mph</t>
  </si>
  <si>
    <t>Days per year</t>
  </si>
  <si>
    <t>Public Revenue</t>
  </si>
  <si>
    <t>Interstate Traveler Hydrogen/Water Cycle Analysis</t>
  </si>
  <si>
    <t>Hydrogen to Water</t>
  </si>
  <si>
    <t>watt-hours/lb of h2</t>
  </si>
  <si>
    <t>efficiency</t>
  </si>
  <si>
    <t>Actual energy from h2</t>
  </si>
  <si>
    <t>watts-hours/Lbs H2</t>
  </si>
  <si>
    <t>Total System watts (TSW)</t>
  </si>
  <si>
    <t xml:space="preserve">TSW / watt-hr/lb </t>
  </si>
  <si>
    <t>Total lbs H2</t>
  </si>
  <si>
    <t>Total /lbs/hr @ efficiency</t>
  </si>
  <si>
    <t>Mole conversion</t>
  </si>
  <si>
    <t>Total Lbs of water /hour</t>
  </si>
  <si>
    <t>Lbs/gallon</t>
  </si>
  <si>
    <t>Total Gallons/hour</t>
  </si>
  <si>
    <t>Total Interstate Highway</t>
  </si>
  <si>
    <t>Total Water production</t>
  </si>
  <si>
    <t>Power to Hydrogen</t>
  </si>
  <si>
    <t>Total Watt-Hrs/ ncmH</t>
  </si>
  <si>
    <t>Total Cubic Meters H /hr</t>
  </si>
  <si>
    <t>Total ncmH/hour</t>
  </si>
  <si>
    <t>Total Hydrogen Density</t>
  </si>
  <si>
    <t>Kilograms/cubic meter</t>
  </si>
  <si>
    <t>Kilograms of Hydrogen</t>
  </si>
  <si>
    <t>Liters of Water / hour</t>
  </si>
  <si>
    <t xml:space="preserve">One gallon is </t>
  </si>
  <si>
    <t>Liters</t>
  </si>
  <si>
    <t>Total Gallons of water /hour</t>
  </si>
  <si>
    <t>Hours/day</t>
  </si>
  <si>
    <t>Gallons/day</t>
  </si>
  <si>
    <t>days/year</t>
  </si>
  <si>
    <t>Gallons/year</t>
  </si>
  <si>
    <t>National Highway system</t>
  </si>
  <si>
    <t xml:space="preserve">Total Water for National </t>
  </si>
  <si>
    <t>Statewide Population</t>
  </si>
  <si>
    <t>Geographic Area</t>
  </si>
  <si>
    <t>July 1, 2003 Population</t>
  </si>
  <si>
    <t>July 1, 2002 Population</t>
  </si>
  <si>
    <t>July 1, 2001 Population</t>
  </si>
  <si>
    <t>July 1, 2000 Population</t>
  </si>
  <si>
    <t>April 1, 2000 Population Estimates Base</t>
  </si>
  <si>
    <t>Census 2000 Population</t>
  </si>
  <si>
    <t>United States</t>
  </si>
  <si>
    <t>   Alabama</t>
  </si>
  <si>
    <t>   Alaska</t>
  </si>
  <si>
    <t>   Arizona</t>
  </si>
  <si>
    <t>   Arkansas</t>
  </si>
  <si>
    <t>   California</t>
  </si>
  <si>
    <t>   Colorado</t>
  </si>
  <si>
    <t>   Connecticut</t>
  </si>
  <si>
    <t>   Delaware</t>
  </si>
  <si>
    <t>   District of Columbia</t>
  </si>
  <si>
    <t>   Florida</t>
  </si>
  <si>
    <t>   Georgia</t>
  </si>
  <si>
    <t>   Hawaii</t>
  </si>
  <si>
    <t>   Idaho</t>
  </si>
  <si>
    <t>   Illinois</t>
  </si>
  <si>
    <t>   Indiana</t>
  </si>
  <si>
    <t>   Iowa</t>
  </si>
  <si>
    <t>   Kansas</t>
  </si>
  <si>
    <t>   Kentucky</t>
  </si>
  <si>
    <t>   Louisiana</t>
  </si>
  <si>
    <t>   Maine</t>
  </si>
  <si>
    <t>   Maryland</t>
  </si>
  <si>
    <t>   Massachusetts</t>
  </si>
  <si>
    <t>   Michigan</t>
  </si>
  <si>
    <t>   Minnesota</t>
  </si>
  <si>
    <t>   Mississippi</t>
  </si>
  <si>
    <t>   Missouri</t>
  </si>
  <si>
    <t>   Montana</t>
  </si>
  <si>
    <t>   Nebraska</t>
  </si>
  <si>
    <t>   Nevada</t>
  </si>
  <si>
    <t>   New Hampshire</t>
  </si>
  <si>
    <t>   New Jersey</t>
  </si>
  <si>
    <t>   New Mexico</t>
  </si>
  <si>
    <t>   New York</t>
  </si>
  <si>
    <t>   North Carolina</t>
  </si>
  <si>
    <t>   North Dakota</t>
  </si>
  <si>
    <t>   Ohio</t>
  </si>
  <si>
    <t>   Oklahoma</t>
  </si>
  <si>
    <t>   Oregon</t>
  </si>
  <si>
    <t>   Pennsylvania</t>
  </si>
  <si>
    <t>   Rhode Island</t>
  </si>
  <si>
    <t>   South Carolina</t>
  </si>
  <si>
    <t>   South Dakota</t>
  </si>
  <si>
    <t>   Tennessee</t>
  </si>
  <si>
    <t>   Texas</t>
  </si>
  <si>
    <t>   Utah</t>
  </si>
  <si>
    <t>   Vermont</t>
  </si>
  <si>
    <t>   Virginia</t>
  </si>
  <si>
    <t>   Washington</t>
  </si>
  <si>
    <t>   West Virginia</t>
  </si>
  <si>
    <t>   Wisconsin</t>
  </si>
  <si>
    <t>   Wyoming</t>
  </si>
  <si>
    <t>   Puerto Rico</t>
  </si>
  <si>
    <t>Percent Riding/day</t>
  </si>
  <si>
    <t>Dollars/day</t>
  </si>
  <si>
    <t>Dollars/year</t>
  </si>
  <si>
    <t>Census figures: http://eire.census.gov/popest/data/states/tables/NST-EST2003-01.php</t>
  </si>
  <si>
    <t>hydrogen/gasoline equiv/hour/mile</t>
  </si>
  <si>
    <t>8 ' x 1 '  section of panel at $266.00 /foot</t>
  </si>
  <si>
    <t>8' x 20'  Steel Plate for Central Support two way</t>
  </si>
  <si>
    <t>Full Function Utility Substation</t>
  </si>
  <si>
    <t>Cost @ $ Mil/Mi</t>
  </si>
  <si>
    <t>Total square foot of solar panel</t>
  </si>
  <si>
    <t>Total Acres of Solar Panel</t>
  </si>
  <si>
    <r>
      <t>1 acre = 43</t>
    </r>
    <r>
      <rPr>
        <b/>
        <sz val="7.5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560 square feet</t>
    </r>
  </si>
  <si>
    <t>Pairs of Stations/Mile</t>
  </si>
  <si>
    <t>Freight Car</t>
  </si>
  <si>
    <t>Car Ramp for Car Ferry w/ Parking Structure</t>
  </si>
  <si>
    <t>Commuter Public Car (60 Passenger)</t>
  </si>
  <si>
    <t>Kilometer / pair of rails</t>
  </si>
  <si>
    <t>$200 / foot * 3278 for Pair or Rails</t>
  </si>
  <si>
    <t>one quarter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</si>
  <si>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</si>
  <si>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</si>
  <si>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</si>
  <si>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</si>
  <si>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</si>
  <si>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</si>
  <si>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</si>
  <si>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</si>
  <si>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</si>
  <si>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</si>
  <si>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</si>
  <si>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</si>
  <si>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</si>
  <si>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</si>
  <si>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</si>
  <si>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</si>
  <si>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</si>
  <si>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</si>
  <si>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</si>
  <si>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</si>
  <si>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</si>
  <si>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</si>
  <si>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</si>
  <si>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</si>
  <si>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</si>
  <si>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</si>
  <si>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</si>
  <si>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</si>
  <si>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</si>
  <si>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</si>
  <si>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</si>
  <si>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</si>
  <si>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</si>
  <si>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</si>
  <si>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</si>
  <si>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</si>
  <si>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</si>
  <si>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</si>
  <si>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</si>
  <si>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</si>
  <si>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</si>
  <si>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</si>
  <si>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</si>
  <si>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</si>
  <si>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</si>
  <si>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</si>
  <si>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</si>
  <si>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</si>
  <si>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</si>
  <si>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</si>
  <si>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</si>
  <si>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</si>
  <si>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Typical Costs for Steel per ton</t>
  </si>
  <si>
    <t>Tons/Section</t>
  </si>
  <si>
    <t>Tons/mile</t>
  </si>
  <si>
    <t>Cost / Section</t>
  </si>
  <si>
    <t>Cost / Mile</t>
  </si>
  <si>
    <t>Cost / Kilometer</t>
  </si>
  <si>
    <t>Total Tons</t>
  </si>
  <si>
    <t>Total cost</t>
  </si>
  <si>
    <t>Cost per Kilometer Complete System</t>
  </si>
  <si>
    <t>Cost per Mile Complete System</t>
  </si>
  <si>
    <t>Balance</t>
  </si>
  <si>
    <t>Total Miles / Week</t>
  </si>
  <si>
    <t>Minutes in a year</t>
  </si>
  <si>
    <t>Leo asks the question:  How many gallons per minute will an acre process?</t>
  </si>
  <si>
    <t>Acres</t>
  </si>
  <si>
    <t>The Interstate Traveler Company, LLC</t>
  </si>
  <si>
    <t>Solar panel Calculations and Water to square foot of solar panel ratio.</t>
  </si>
  <si>
    <t>Adjust values in the yellow fields to adjust totals.</t>
  </si>
  <si>
    <t>Total Acres Available</t>
  </si>
  <si>
    <t>watts/squarefoot</t>
  </si>
  <si>
    <t>acres</t>
  </si>
  <si>
    <t>%of Available</t>
  </si>
  <si>
    <t>Squarfeet</t>
  </si>
  <si>
    <t>Total Hours/day</t>
  </si>
  <si>
    <t>Total Watts/day</t>
  </si>
  <si>
    <t>Total Watts/year</t>
  </si>
  <si>
    <t>Total Watts/house/year</t>
  </si>
  <si>
    <t>Total Houses Served</t>
  </si>
  <si>
    <t>Totall Gallons / Minute</t>
  </si>
  <si>
    <t>9594 Main Street, Whitmore Lake, MI  48189</t>
  </si>
  <si>
    <t>www.InterstateTraveler.us</t>
  </si>
  <si>
    <t>First Year Budget</t>
  </si>
  <si>
    <t>Labor</t>
  </si>
  <si>
    <t>people</t>
  </si>
  <si>
    <t>Amount/monthly</t>
  </si>
  <si>
    <t>Total Annual</t>
  </si>
  <si>
    <t>Managing Partner  JES</t>
  </si>
  <si>
    <t>Chief Financial Officer JH</t>
  </si>
  <si>
    <t>Chief Communications Officer   LLS</t>
  </si>
  <si>
    <t>Chief Technology Office TN</t>
  </si>
  <si>
    <t>Chief Operational Officer  (See Factory)</t>
  </si>
  <si>
    <t>Executive Administrator   AJ</t>
  </si>
  <si>
    <t>Executive Assistant Position</t>
  </si>
  <si>
    <t>Purchasing Agent</t>
  </si>
  <si>
    <t>Discretionary Part-time Professionals</t>
  </si>
  <si>
    <t>Subtotal</t>
  </si>
  <si>
    <t>Health care costs</t>
  </si>
  <si>
    <t>Payroll Tax</t>
  </si>
  <si>
    <t>Workman's Comp @ 1% payroll</t>
  </si>
  <si>
    <t>Labor Total</t>
  </si>
  <si>
    <t>One time Capital Costs</t>
  </si>
  <si>
    <t>Total</t>
  </si>
  <si>
    <t>Panasonic Toughbooks</t>
  </si>
  <si>
    <t>Cell phones / IP Phones</t>
  </si>
  <si>
    <t>Monthly Operation</t>
  </si>
  <si>
    <t>Months</t>
  </si>
  <si>
    <t>Yearly</t>
  </si>
  <si>
    <t>Liability Insurance</t>
  </si>
  <si>
    <t>Phone World HQ (Usage Fees)</t>
  </si>
  <si>
    <t>Internet Access Fees CATV</t>
  </si>
  <si>
    <t>Rent</t>
  </si>
  <si>
    <t>Utilities</t>
  </si>
  <si>
    <t>Office Supplies</t>
  </si>
  <si>
    <t>Memberships/Subscriptions</t>
  </si>
  <si>
    <t>Education and Conference</t>
  </si>
  <si>
    <t>Travel $.33/mile car</t>
  </si>
  <si>
    <t>Travel Airline/Hotel/Food</t>
  </si>
  <si>
    <t>Printing / Printer Lease</t>
  </si>
  <si>
    <t>Equipment Maintenance</t>
  </si>
  <si>
    <t>Office Equipment Rental</t>
  </si>
  <si>
    <t>Managing Partners Expense Acc</t>
  </si>
  <si>
    <t>Entertainment</t>
  </si>
  <si>
    <t>Consulting / Contracting</t>
  </si>
  <si>
    <t>Product Development Illustrations</t>
  </si>
  <si>
    <t>Marketing Personal</t>
  </si>
  <si>
    <t>Multimedia Animation Production</t>
  </si>
  <si>
    <t>Computer Management (Monthly)</t>
  </si>
  <si>
    <t>Legal Services</t>
  </si>
  <si>
    <t xml:space="preserve">Government Relations  </t>
  </si>
  <si>
    <t>Process Patent Attorney</t>
  </si>
  <si>
    <t>CPA</t>
  </si>
  <si>
    <t>Factory Process Engineering (COO)</t>
  </si>
  <si>
    <t>Mechanical Engineering</t>
  </si>
  <si>
    <t>Electrical Engineering</t>
  </si>
  <si>
    <t>Software Development</t>
  </si>
  <si>
    <t>Prototype Development</t>
  </si>
  <si>
    <t>Water Quality Science / Laboratory</t>
  </si>
  <si>
    <t>Web/LAN/WAN Development</t>
  </si>
  <si>
    <t>Total Consulting</t>
  </si>
  <si>
    <t>Percent</t>
  </si>
  <si>
    <t xml:space="preserve">Labor </t>
  </si>
  <si>
    <t>One time Capital Cost</t>
  </si>
  <si>
    <t>Monthly Operations</t>
  </si>
  <si>
    <t>Consulting/Contracting</t>
  </si>
  <si>
    <t>Total First Year:</t>
  </si>
  <si>
    <t>County</t>
  </si>
  <si>
    <t>Ann Arbor</t>
  </si>
  <si>
    <t>Total Miles/year</t>
  </si>
  <si>
    <t>Routes</t>
  </si>
  <si>
    <t>Trip Description</t>
  </si>
  <si>
    <t>Average Speed MPH</t>
  </si>
  <si>
    <t>Trip in Hours</t>
  </si>
  <si>
    <t>Trip in Minutes</t>
  </si>
  <si>
    <t>Minutes @ 70mph</t>
  </si>
  <si>
    <t>Cost per KM full install</t>
  </si>
  <si>
    <t>Cost of System</t>
  </si>
  <si>
    <t>Downtown Detroit to Downtown Chicago</t>
  </si>
  <si>
    <t>Ann Arbor to Detroit</t>
  </si>
  <si>
    <t>Lansing to Muskegon</t>
  </si>
  <si>
    <t>Detroit to Lansing</t>
  </si>
  <si>
    <t>Muskegon to Chicago</t>
  </si>
  <si>
    <t>Brighton to Ann Arbor</t>
  </si>
  <si>
    <t>Ann Arbor to Metro Airport</t>
  </si>
  <si>
    <t>Detroit to Brighton Via Ann Arbor</t>
  </si>
  <si>
    <t>Metropolitan Loops</t>
  </si>
  <si>
    <t>Cost per Mile full Install</t>
  </si>
  <si>
    <t>Total Cost of Loop</t>
  </si>
  <si>
    <t>Detroit City Loop</t>
  </si>
  <si>
    <t>What are the most commonly used routes</t>
  </si>
  <si>
    <t>Nested Domain Addressing System</t>
  </si>
  <si>
    <t>Top Level</t>
  </si>
  <si>
    <t>USA</t>
  </si>
  <si>
    <t>Second</t>
  </si>
  <si>
    <t>Third</t>
  </si>
  <si>
    <t>Fourth</t>
  </si>
  <si>
    <t>Township / City / Villiage</t>
  </si>
  <si>
    <t>Fifth</t>
  </si>
  <si>
    <t>Private Network</t>
  </si>
  <si>
    <t>Sixth</t>
  </si>
  <si>
    <t>Private Terminal</t>
  </si>
  <si>
    <t>Example of Addressing Method</t>
  </si>
  <si>
    <t>Marker:</t>
  </si>
  <si>
    <t>.</t>
  </si>
  <si>
    <t>Ordinate</t>
  </si>
  <si>
    <t>Value / Position</t>
  </si>
  <si>
    <t>Wayne County</t>
  </si>
  <si>
    <t>Redford</t>
  </si>
  <si>
    <t>Shopping Center</t>
  </si>
  <si>
    <t>Stop Number</t>
  </si>
  <si>
    <t>Departure ID</t>
  </si>
  <si>
    <t>Cook County</t>
  </si>
  <si>
    <t>Chicago</t>
  </si>
  <si>
    <t>Destination ID</t>
  </si>
  <si>
    <t>Net sales for the fourth quarter of 2004 totaled a company record of $1,433.8 million on record shipments of 1,631,400 tons, compared to net sales of $1,054.0 million on shipments of 1,563,700 tons in the year-ago fourth quarter.  The company said that its average steel selling price for the fourth quarter of 2004 was a record $878 per ton, 1% higher than the $866 per ton average for the third quarter of 2004, and a 31% increase in average selling price from the fourth quarter of 2003. </t>
  </si>
  <si>
    <t>Source:</t>
  </si>
  <si>
    <t>http://www.aksteel.com/news/press_release.asp?doc_id=427</t>
  </si>
  <si>
    <t>BTU</t>
  </si>
  <si>
    <t>3.413/watt</t>
  </si>
  <si>
    <t># of Stations / 5 miles</t>
  </si>
  <si>
    <t>Cost per minute</t>
  </si>
  <si>
    <t>Time to complete a trip (Minutes)</t>
  </si>
  <si>
    <t>energy needed to generate one kg of hydrogen is 51 kWh</t>
  </si>
  <si>
    <t>1 Kg of Hydrogen is equal to 1 Gallon of Gasoline</t>
  </si>
  <si>
    <t>http://www.fsec.ucf.edu/hydrogen/research/solar_h2_production.htm</t>
  </si>
  <si>
    <t>http://www.iit.edu/~ipro301s05/knowledge/reports/f05_Final_Report.pdf</t>
  </si>
  <si>
    <t>Table.3. shows the technical specifications of HyLYZER 65</t>
  </si>
  <si>
    <t>Stack Voltage 100VDC</t>
  </si>
  <si>
    <t>Efficiency 78%</t>
  </si>
  <si>
    <t>Hydrogen flow rate 75lpm (ponds per minute)</t>
  </si>
  <si>
    <t>Power rating 50.44 kWh/kg power consumption</t>
  </si>
  <si>
    <t>Inlet Temperature 80oC</t>
  </si>
  <si>
    <t>Output Pressure 140psi</t>
  </si>
  <si>
    <t>GEU</t>
  </si>
  <si>
    <t xml:space="preserve">http://www-formal.stanford.edu/jmc/progress/hydrogen.html </t>
  </si>
  <si>
    <t>Total Gallons/hour/mile</t>
  </si>
  <si>
    <t>Total Gallons/Day</t>
  </si>
  <si>
    <t>Total Output in Watts for Single Rail System</t>
  </si>
  <si>
    <t>Total Output in Watts per Single Rail Kilometer</t>
  </si>
  <si>
    <t>Equivilent Number of Homes Covered by ITC Solar Grid</t>
  </si>
  <si>
    <t>/hour</t>
  </si>
  <si>
    <t>kw/kg</t>
  </si>
  <si>
    <t>10 hours</t>
  </si>
  <si>
    <t>30 days</t>
  </si>
  <si>
    <t>365 days</t>
  </si>
  <si>
    <t>Total Cars</t>
  </si>
  <si>
    <t>gallons/day/car</t>
  </si>
  <si>
    <t>total Miles of track for this estimate</t>
  </si>
  <si>
    <t>Passenger Fee / Minute</t>
  </si>
  <si>
    <t>Car Transport Fee / Minute</t>
  </si>
  <si>
    <t>Average Time of Trip for Pedestrian</t>
  </si>
  <si>
    <t>Total Daily Capacity  (Average Time * Total Capacity)</t>
  </si>
  <si>
    <t>Percent of Capacity</t>
  </si>
  <si>
    <t>Rides</t>
  </si>
  <si>
    <t>Miles per hour</t>
  </si>
  <si>
    <t>Total Annual Revenue for All Transports / Advertising / Rent</t>
  </si>
  <si>
    <t>Return on Investment at 100% of Revenue</t>
  </si>
  <si>
    <t>Dept Service Fund</t>
  </si>
  <si>
    <t>Return on Investment using Dept Service Fund</t>
  </si>
  <si>
    <t>Unforeseen Delays for Installation in Months</t>
  </si>
  <si>
    <t>Total Rent and Advertising</t>
  </si>
  <si>
    <t>Kilograms/hour</t>
  </si>
  <si>
    <t>Gasoline equivelent units @12ncmh/gal</t>
  </si>
  <si>
    <t>Total/day</t>
  </si>
  <si>
    <t>Chief Executive Officer</t>
  </si>
  <si>
    <t>Economy desktop computers</t>
  </si>
  <si>
    <t>Monthly Outlay over 12 months</t>
  </si>
  <si>
    <t>Grand Public Car  (GPC)</t>
  </si>
  <si>
    <t>figured at $5/ft yet may be purchase at $.35/ft</t>
  </si>
  <si>
    <t>One every FOUR kilometers  (2.5 Miles)</t>
  </si>
  <si>
    <t>Total Annual Dept Service Fund (P/P Partnership)</t>
  </si>
  <si>
    <t>Total Cars  / Station</t>
  </si>
  <si>
    <t>5 Hours</t>
  </si>
  <si>
    <t>Essential Lineal Parallel Track</t>
  </si>
  <si>
    <t>Sidetrack to Local Public Station</t>
  </si>
  <si>
    <t>Remote Public Station, and parking (Basic Structure)</t>
  </si>
  <si>
    <t>Car Transports</t>
  </si>
  <si>
    <t>Ton Mile</t>
  </si>
  <si>
    <t xml:space="preserve">Freight / </t>
  </si>
  <si>
    <t>Number of Freight Cars</t>
  </si>
  <si>
    <t>Total Tonage Per Frieght Transport</t>
  </si>
  <si>
    <t>Total Simultaneous Capacity in Tonnage</t>
  </si>
  <si>
    <t>Tons</t>
  </si>
  <si>
    <t>Average Time of Trip for Car Transport</t>
  </si>
  <si>
    <t>Car Transports Projected Use as an Average over 24 hours</t>
  </si>
  <si>
    <t>Freight Transports Projected Use as an Average over 24 hours</t>
  </si>
  <si>
    <r>
      <t xml:space="preserve">Pedestrian Total Projected Use </t>
    </r>
    <r>
      <rPr>
        <b/>
        <sz val="10"/>
        <rFont val="Arial"/>
        <family val="2"/>
      </rPr>
      <t>Daily</t>
    </r>
  </si>
  <si>
    <r>
      <t xml:space="preserve">Pedestrian Total Projected Revenue </t>
    </r>
    <r>
      <rPr>
        <b/>
        <sz val="10"/>
        <rFont val="Arial"/>
        <family val="2"/>
      </rPr>
      <t>Daily</t>
    </r>
  </si>
  <si>
    <r>
      <t xml:space="preserve">Pedestrian Total Projected Use </t>
    </r>
    <r>
      <rPr>
        <b/>
        <sz val="10"/>
        <rFont val="Arial"/>
        <family val="2"/>
      </rPr>
      <t>Annually</t>
    </r>
  </si>
  <si>
    <r>
      <t xml:space="preserve">Pedestrian Total Projected Revenue </t>
    </r>
    <r>
      <rPr>
        <b/>
        <sz val="10"/>
        <rFont val="Arial"/>
        <family val="2"/>
      </rPr>
      <t>Annually</t>
    </r>
  </si>
  <si>
    <r>
      <t xml:space="preserve">Car Transports Total Projected Use </t>
    </r>
    <r>
      <rPr>
        <b/>
        <sz val="10"/>
        <rFont val="Arial"/>
        <family val="2"/>
      </rPr>
      <t>Daily</t>
    </r>
  </si>
  <si>
    <r>
      <t xml:space="preserve">Car Transports Total Projected Revenue </t>
    </r>
    <r>
      <rPr>
        <b/>
        <sz val="10"/>
        <rFont val="Arial"/>
        <family val="2"/>
      </rPr>
      <t>Daily</t>
    </r>
  </si>
  <si>
    <r>
      <t xml:space="preserve">Car Transports Total Projected Use </t>
    </r>
    <r>
      <rPr>
        <b/>
        <sz val="10"/>
        <rFont val="Arial"/>
        <family val="2"/>
      </rPr>
      <t>Annually</t>
    </r>
  </si>
  <si>
    <r>
      <t xml:space="preserve">Car Transports Total Projected Revenue </t>
    </r>
    <r>
      <rPr>
        <b/>
        <sz val="10"/>
        <rFont val="Arial"/>
        <family val="2"/>
      </rPr>
      <t>Annually</t>
    </r>
  </si>
  <si>
    <t>Efficiency Average Speed Traveled</t>
  </si>
  <si>
    <t>Average Distance in Miles per Ton on Freight</t>
  </si>
  <si>
    <t>Miles (Pedestrian)</t>
  </si>
  <si>
    <t>Total Simultaneous Capacity  (Pedestrians Only)</t>
  </si>
  <si>
    <t>Pedestrian Projected Use as an Average over 24 hours</t>
  </si>
  <si>
    <t>Interstate Traveler Energy Calculator</t>
  </si>
  <si>
    <t>1 watt-hour = 3.4121415 Btu</t>
  </si>
  <si>
    <t>Multiple</t>
  </si>
  <si>
    <t>Name</t>
  </si>
  <si>
    <t>Symbol</t>
  </si>
  <si>
    <t>Enter Values in fields marked in Yellow</t>
  </si>
  <si>
    <t>watt</t>
  </si>
  <si>
    <t>W</t>
  </si>
  <si>
    <t>ITC Rail Combined Wattage Output of Two Parallel Tracks Combined</t>
  </si>
  <si>
    <t>decawatt</t>
  </si>
  <si>
    <t>daW</t>
  </si>
  <si>
    <t>Mile</t>
  </si>
  <si>
    <t>ft</t>
  </si>
  <si>
    <t>hectowatt</t>
  </si>
  <si>
    <t>hW</t>
  </si>
  <si>
    <t>kilowatt</t>
  </si>
  <si>
    <t>kW</t>
  </si>
  <si>
    <t>SqFt/mile</t>
  </si>
  <si>
    <t>megawatt</t>
  </si>
  <si>
    <t>MW</t>
  </si>
  <si>
    <t>watts/SqFt</t>
  </si>
  <si>
    <t>gigawatt</t>
  </si>
  <si>
    <t>GW</t>
  </si>
  <si>
    <t>Watts/mile/hour</t>
  </si>
  <si>
    <t>terawatt</t>
  </si>
  <si>
    <t>TW</t>
  </si>
  <si>
    <t>Total Solar Hours/day</t>
  </si>
  <si>
    <t>Solar Hours/day</t>
  </si>
  <si>
    <t>petawatt</t>
  </si>
  <si>
    <t>PW</t>
  </si>
  <si>
    <t>Total Watts/day/mile</t>
  </si>
  <si>
    <t>watts/day/mile</t>
  </si>
  <si>
    <t>exawatt</t>
  </si>
  <si>
    <t>EW</t>
  </si>
  <si>
    <t>miles</t>
  </si>
  <si>
    <t>zettawatt</t>
  </si>
  <si>
    <t>ZW</t>
  </si>
  <si>
    <t>Total watts/day/all miles</t>
  </si>
  <si>
    <t>yottawatt</t>
  </si>
  <si>
    <t>YW</t>
  </si>
  <si>
    <t>Total watts/year</t>
  </si>
  <si>
    <t>Traveler Stations Combined Wattage Output of Total Roof Mounted PV Grid</t>
  </si>
  <si>
    <t>Total Traveler Stations</t>
  </si>
  <si>
    <t>Average Roof Size (PV)</t>
  </si>
  <si>
    <t>SqFt Roof-mounted PV Grid</t>
  </si>
  <si>
    <t>Minimum watts/SqFt</t>
  </si>
  <si>
    <t>Total Watts/hr/station</t>
  </si>
  <si>
    <t>Total Watts/hr/all stations</t>
  </si>
  <si>
    <t>Total Watts/day/all stations</t>
  </si>
  <si>
    <t>Total Watts/year/all stations</t>
  </si>
  <si>
    <t>Transports Combined Wattage Output of Total Roof-Mounted PV Grid</t>
  </si>
  <si>
    <t>Total Transports on System</t>
  </si>
  <si>
    <t>Total SqFt or roof area</t>
  </si>
  <si>
    <t>SqFt of PV on Roof</t>
  </si>
  <si>
    <t>Total SqFt all Transports</t>
  </si>
  <si>
    <t>Total SqFt PV</t>
  </si>
  <si>
    <t>Total Solar Hours / Day</t>
  </si>
  <si>
    <t>Total Watts/hr/Transport</t>
  </si>
  <si>
    <t>Total Watts/hr/all Transports</t>
  </si>
  <si>
    <t>Total Watts/day/all Transports</t>
  </si>
  <si>
    <t>Total Watts/year/all Transports</t>
  </si>
  <si>
    <t>The Roof   (symetrical arch)</t>
  </si>
  <si>
    <t>Diameter</t>
  </si>
  <si>
    <t>Radius</t>
  </si>
  <si>
    <t>Circumference</t>
  </si>
  <si>
    <t>Pi</t>
  </si>
  <si>
    <t>Highway ROW Width</t>
  </si>
  <si>
    <t>Percent of Circumference for roof</t>
  </si>
  <si>
    <t>Roof Width</t>
  </si>
  <si>
    <t>Length</t>
  </si>
  <si>
    <t>Percent dedicated to PV</t>
  </si>
  <si>
    <t>Total Surface area of PV/ Mile</t>
  </si>
  <si>
    <t>Watts/SqFt</t>
  </si>
  <si>
    <t>Total Watts/Mile/hour</t>
  </si>
  <si>
    <t>Solar Day (Hours)</t>
  </si>
  <si>
    <t>Total Watts/Mile/Day</t>
  </si>
  <si>
    <t>Total Number of Miles</t>
  </si>
  <si>
    <t>Total Watts/Solar Day / all miles</t>
  </si>
  <si>
    <t>Total Kilowatts/year</t>
  </si>
  <si>
    <t>SqFt / Sq M</t>
  </si>
  <si>
    <t>Total Megawatts/year</t>
  </si>
  <si>
    <t>Watts/Sq M from Sun at sea level</t>
  </si>
  <si>
    <t>Total Gigawatts/year</t>
  </si>
  <si>
    <t>Watts/Sq Foot from Sun at Sealevel</t>
  </si>
  <si>
    <t>Total Terawatts/year</t>
  </si>
  <si>
    <t>Percent Efficient</t>
  </si>
  <si>
    <t>Total BTU / year</t>
  </si>
  <si>
    <t>Total Wattage Output</t>
  </si>
  <si>
    <t>Total Quad /year</t>
  </si>
  <si>
    <t>Grand Totals of Rail + Stations + Transports + Roof PV Grid Combined</t>
  </si>
  <si>
    <t>Total GigaWatts/year</t>
  </si>
  <si>
    <t>Total Electrical Output Value</t>
  </si>
  <si>
    <t>Total BTU/year</t>
  </si>
  <si>
    <t>Total Quadrillion BTU/year</t>
  </si>
  <si>
    <t>Total watts/ncmh</t>
  </si>
  <si>
    <t>watts/normal cubic meter of Hydrogen</t>
  </si>
  <si>
    <t>Total Cu Meter Hydrogen/year</t>
  </si>
  <si>
    <t>Total ncmh / year</t>
  </si>
  <si>
    <t>Gasoline Equivelent Units</t>
  </si>
  <si>
    <t>Gasoline Equivilent Units 10ncmh/1Gal Gas</t>
  </si>
  <si>
    <t>Number of Cars Sustained/year</t>
  </si>
  <si>
    <t>Same as 960 gals/year/car</t>
  </si>
  <si>
    <t xml:space="preserve">Total number of automobiles </t>
  </si>
  <si>
    <t>Percent of All Cars in America`</t>
  </si>
  <si>
    <t>Percent sustained equivilent</t>
  </si>
  <si>
    <t xml:space="preserve">Source: </t>
  </si>
  <si>
    <t xml:space="preserve">http://www.eere.energy.gov/solar/cfm/faqs/third_level.cfm/name=Photovoltaics/cat=The%20Basics </t>
  </si>
  <si>
    <r>
      <t xml:space="preserve">Width </t>
    </r>
    <r>
      <rPr>
        <sz val="8"/>
        <rFont val="Arial"/>
        <family val="2"/>
      </rPr>
      <t>(two parallel tracks combined)</t>
    </r>
  </si>
  <si>
    <r>
      <t xml:space="preserve">A unit called the </t>
    </r>
    <r>
      <rPr>
        <i/>
        <u val="single"/>
        <sz val="10"/>
        <rFont val="Arial"/>
        <family val="0"/>
      </rPr>
      <t>quad</t>
    </r>
    <r>
      <rPr>
        <sz val="10"/>
        <rFont val="Arial"/>
        <family val="0"/>
      </rPr>
      <t xml:space="preserve"> (short for </t>
    </r>
    <r>
      <rPr>
        <u val="single"/>
        <sz val="10"/>
        <rFont val="Arial"/>
        <family val="0"/>
      </rPr>
      <t>quadrillion</t>
    </r>
    <r>
      <rPr>
        <sz val="10"/>
        <rFont val="Arial"/>
        <family val="0"/>
      </rPr>
      <t>) is defined as 10</t>
    </r>
    <r>
      <rPr>
        <vertAlign val="superscript"/>
        <sz val="10"/>
        <rFont val="Arial"/>
        <family val="0"/>
      </rPr>
      <t>15</t>
    </r>
    <r>
      <rPr>
        <sz val="10"/>
        <rFont val="Arial"/>
        <family val="0"/>
      </rPr>
      <t xml:space="preserve"> BTU</t>
    </r>
  </si>
  <si>
    <r>
      <t>Q:</t>
    </r>
    <r>
      <rPr>
        <i/>
        <sz val="8"/>
        <color indexed="16"/>
        <rFont val="Verdana"/>
        <family val="2"/>
      </rPr>
      <t> What is photovoltaics (solar electricity), or "PV"?</t>
    </r>
  </si>
  <si>
    <r>
      <t>A:</t>
    </r>
    <r>
      <rPr>
        <sz val="8"/>
        <color indexed="8"/>
        <rFont val="Verdana"/>
        <family val="2"/>
      </rPr>
      <t xml:space="preserve"> What do we mean by </t>
    </r>
    <r>
      <rPr>
        <b/>
        <sz val="8"/>
        <color indexed="8"/>
        <rFont val="Verdana"/>
        <family val="2"/>
      </rPr>
      <t>photovoltaics</t>
    </r>
    <r>
      <rPr>
        <sz val="8"/>
        <color indexed="8"/>
        <rFont val="Verdana"/>
        <family val="2"/>
      </rPr>
      <t xml:space="preserve">? The word itself helps to explain how photovoltaic (PV) or </t>
    </r>
    <r>
      <rPr>
        <b/>
        <sz val="8"/>
        <color indexed="8"/>
        <rFont val="Verdana"/>
        <family val="2"/>
      </rPr>
      <t>solar electric</t>
    </r>
    <r>
      <rPr>
        <sz val="8"/>
        <color indexed="8"/>
        <rFont val="Verdana"/>
        <family val="2"/>
      </rPr>
      <t xml:space="preserve"> technologies work. First used in about 1890, the word has two parts: photo, a stem derived from the Greek phos, which means light, and volt, a me</t>
    </r>
  </si>
  <si>
    <t xml:space="preserve">Total Miles </t>
  </si>
  <si>
    <t>Watts/SqFt  ( Average 12 )</t>
  </si>
  <si>
    <t>All rights reserved, Copyright 2002-2011</t>
  </si>
  <si>
    <t>Total Miles Installed</t>
  </si>
  <si>
    <t>Total Transorts</t>
  </si>
  <si>
    <t>Key Metrics</t>
  </si>
  <si>
    <t>Same in Kilometers</t>
  </si>
  <si>
    <t>Total Miles of Interstate in California</t>
  </si>
  <si>
    <t>/year</t>
  </si>
  <si>
    <t>Total Projected Annual Revenue</t>
  </si>
  <si>
    <t>Same in Years</t>
  </si>
  <si>
    <r>
      <t xml:space="preserve">Return on Investment in </t>
    </r>
    <r>
      <rPr>
        <b/>
        <sz val="12"/>
        <rFont val="Arial"/>
        <family val="0"/>
      </rPr>
      <t>Years Including Startup time</t>
    </r>
  </si>
  <si>
    <t>Per Capita Share</t>
  </si>
  <si>
    <t>Ton/Miles Per Day</t>
  </si>
  <si>
    <t>Time Blocks Per Day</t>
  </si>
  <si>
    <t>Number of Pedestrian Transports</t>
  </si>
  <si>
    <t>Releative Cost Per Mile Traveled for Pedestrian</t>
  </si>
  <si>
    <t>Dollars / Mile</t>
  </si>
  <si>
    <t>Annual</t>
  </si>
  <si>
    <t>Interstate Traveler Company, LLC</t>
  </si>
  <si>
    <t>Total Passenger Transports</t>
  </si>
  <si>
    <t>Total Passenger Capacity</t>
  </si>
  <si>
    <t>Total Car Transports</t>
  </si>
  <si>
    <t>Total Frieght Transports</t>
  </si>
  <si>
    <t>Average Lease Payment</t>
  </si>
  <si>
    <t>Total Lease Income per Annum</t>
  </si>
  <si>
    <t>Total Square Feet of Solar (Rail)</t>
  </si>
  <si>
    <t>Total Watts / Square Feet</t>
  </si>
  <si>
    <t>Total Watts / Hour</t>
  </si>
  <si>
    <t>Total Solar Hours</t>
  </si>
  <si>
    <t>Total Watts per Day</t>
  </si>
  <si>
    <t>Total Watts per Year</t>
  </si>
  <si>
    <t>Total KW per Year</t>
  </si>
  <si>
    <t>Average Value / Kw</t>
  </si>
  <si>
    <t>Average Annual Kw Value</t>
  </si>
  <si>
    <t>Total Cost for System</t>
  </si>
  <si>
    <t>Projected Annual Revenue</t>
  </si>
  <si>
    <t>(Fairbox, Rent, Advertising only)</t>
  </si>
  <si>
    <t>Public Share on Public ROW</t>
  </si>
  <si>
    <t>Projected Annual Income (Private)</t>
  </si>
  <si>
    <t>Projected Annual Public Share</t>
  </si>
  <si>
    <t>Cost Projection</t>
  </si>
  <si>
    <t>Startup Costs  Final Production Model</t>
  </si>
  <si>
    <t>Supply Chain (Credit Based)</t>
  </si>
  <si>
    <t xml:space="preserve">Per Factory / Production Line </t>
  </si>
  <si>
    <t>Annual Operational Costs</t>
  </si>
  <si>
    <t>80 Foot Wide Hydroponic Highway</t>
  </si>
  <si>
    <t>Width</t>
  </si>
  <si>
    <t>acres / mile</t>
  </si>
  <si>
    <t>Mixed Agriculture</t>
  </si>
  <si>
    <t>Tons of Carbon/acre/year</t>
  </si>
  <si>
    <t>Tons of Carbon / Mile</t>
  </si>
  <si>
    <t>Tons of Carbon / year</t>
  </si>
  <si>
    <t>Environment</t>
  </si>
  <si>
    <t>CO2 Absorbed</t>
  </si>
  <si>
    <t>Oxygen Emitted</t>
  </si>
  <si>
    <t>Tons/acre/year</t>
  </si>
  <si>
    <t>Water Consumed</t>
  </si>
  <si>
    <t>Grass Lands</t>
  </si>
  <si>
    <t>Forested</t>
  </si>
  <si>
    <t>9,000 x 9,000 Grid</t>
  </si>
  <si>
    <t>feet</t>
  </si>
  <si>
    <t>Square Feet</t>
  </si>
  <si>
    <t>T/acre/year</t>
  </si>
  <si>
    <t>Total Tons / Year</t>
  </si>
  <si>
    <t>Hardwood</t>
  </si>
  <si>
    <t>Tons / Year on average</t>
  </si>
  <si>
    <t>Total Acres</t>
  </si>
  <si>
    <t>Notes:</t>
  </si>
  <si>
    <t>Carbon / Ton Mile</t>
  </si>
  <si>
    <t>Truck</t>
  </si>
  <si>
    <t>Intermodal</t>
  </si>
  <si>
    <t>Train</t>
  </si>
  <si>
    <t>Carbon Sequestration</t>
  </si>
  <si>
    <t>Job Creation Estimates</t>
  </si>
  <si>
    <t>Does Not include Construction Jobs for Rail, Traveler Stations, Etc. or Maintainence</t>
  </si>
  <si>
    <t>Miles of Rail</t>
  </si>
  <si>
    <t>Lease Hold Businesses / Stations</t>
  </si>
  <si>
    <t>Total Businesses</t>
  </si>
  <si>
    <t>Employees / Business</t>
  </si>
  <si>
    <t>Total Employees in Traveler Stations</t>
  </si>
  <si>
    <t>Transports on System</t>
  </si>
  <si>
    <t>Concierge / Transport</t>
  </si>
  <si>
    <t>Concierge Employees</t>
  </si>
  <si>
    <t>Total Employees (estimated)</t>
  </si>
  <si>
    <t>Traveler Stations (est)</t>
  </si>
  <si>
    <t>Lease Hold Business / Station</t>
  </si>
  <si>
    <t>Total Business</t>
  </si>
  <si>
    <t>Eisenhower Interstate Highway System</t>
  </si>
  <si>
    <t>100 Miles Starter System</t>
  </si>
  <si>
    <t>Traveler Stations (Not Including Car Transport Ramps)</t>
  </si>
  <si>
    <t>Texas Population</t>
  </si>
  <si>
    <t>Interstate Highway Network</t>
  </si>
  <si>
    <t>PerCapita Revenue</t>
  </si>
  <si>
    <t>per acer</t>
  </si>
  <si>
    <t>Lease cost</t>
  </si>
  <si>
    <t>Leases Per Traveler Station</t>
  </si>
  <si>
    <t>Total Leases (Traveler Stations)</t>
  </si>
  <si>
    <t>Total First Year Fixed Costs</t>
  </si>
  <si>
    <t>Justin@InterstateTraveler.us</t>
  </si>
  <si>
    <t>Project Summary and Analysis Tool</t>
  </si>
  <si>
    <t>Edit Values in Yellow to Recalculate</t>
  </si>
  <si>
    <t>Enter Number of Leases per Station Here</t>
  </si>
  <si>
    <t>Enter Value of Lease per month</t>
  </si>
  <si>
    <t>Enter Watts/SqFt value for Solar Panels here</t>
  </si>
  <si>
    <t>This System</t>
  </si>
  <si>
    <t>Total Expected Direct Employment</t>
  </si>
  <si>
    <t>Direct Employees (Estimated)</t>
  </si>
  <si>
    <t>Return on Investment (after operational 100% Rev)</t>
  </si>
  <si>
    <t>Total Kilograms of Hydrogen per Day</t>
  </si>
  <si>
    <t>Total Kilograms of Hydrogen per Year</t>
  </si>
  <si>
    <t>Energy In - Hour</t>
  </si>
  <si>
    <t>KW - Hour</t>
  </si>
  <si>
    <t>KGs / Hour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</si>
</sst>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.000"/>
    <numFmt numFmtId="170" formatCode="&quot;$&quot;#,##0.0000000"/>
    <numFmt numFmtId="171" formatCode="0.0%"/>
    <numFmt numFmtId="172" formatCode="0.000"/>
    <numFmt numFmtId="173" formatCode="&quot;$&quot;#,##0"/>
    <numFmt numFmtId="174" formatCode="&quot;$&quot;#,##0.0000"/>
    <numFmt numFmtId="175" formatCode="&quot;$&quot;#,##0.00000"/>
    <numFmt numFmtId="176" formatCode="0.0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&quot;$&quot;#,##0.00000000"/>
    <numFmt numFmtId="182" formatCode="&quot;$&quot;#,##0.000000"/>
    <numFmt numFmtId="183" formatCode="&quot;$&quot;#,##0.0000000000"/>
    <numFmt numFmtId="184" formatCode="0.0000%"/>
    <numFmt numFmtId="185" formatCode="0.000000%"/>
    <numFmt numFmtId="186" formatCode="0.0000000%"/>
    <numFmt numFmtId="187" formatCode="0.00000000%"/>
    <numFmt numFmtId="188" formatCode="0.00000000"/>
    <numFmt numFmtId="189" formatCode="0.0000000000000"/>
    <numFmt numFmtId="190" formatCode="0.0000000000000000"/>
    <numFmt numFmtId="191" formatCode="_(* #,##0.000000000_);_(* \(#,##0.000000000\);_(* &quot;-&quot;?????????_);_(@_)"/>
    <numFmt numFmtId="192" formatCode="0.000000000000000000000000000000"/>
    <numFmt numFmtId="193" formatCode="_(* #,##0.0000000000_);_(* \(#,##0.0000000000\);_(* &quot;-&quot;??????????_);_(@_)"/>
    <numFmt numFmtId="194" formatCode="_(* #,##0.0000000000000000_);_(* \(#,##0.0000000000000000\);_(* &quot;-&quot;????????????????_);_(@_)"/>
    <numFmt numFmtId="195" formatCode="_(* #,##0.0_);_(* \(#,##0.0\);_(* &quot;-&quot;?_);_(@_)"/>
    <numFmt numFmtId="196" formatCode="0.00000%"/>
    <numFmt numFmtId="197" formatCode="0.0000"/>
    <numFmt numFmtId="198" formatCode="0.00000"/>
    <numFmt numFmtId="199" formatCode="0.000000"/>
    <numFmt numFmtId="200" formatCode="#,##0.0"/>
    <numFmt numFmtId="201" formatCode="#,##0.000"/>
    <numFmt numFmtId="202" formatCode="0.000%"/>
    <numFmt numFmtId="203" formatCode="#,##0.0000"/>
    <numFmt numFmtId="204" formatCode="#,##0.00000"/>
    <numFmt numFmtId="205" formatCode="#,##0.000000"/>
    <numFmt numFmtId="206" formatCode="#,##0.0000000"/>
    <numFmt numFmtId="207" formatCode="&quot;$&quot;#,##0.0"/>
    <numFmt numFmtId="208" formatCode="_(&quot;$&quot;* #,##0_);_(&quot;$&quot;* \(#,##0\);_(&quot;$&quot;* &quot;-&quot;??_);_(@_)"/>
    <numFmt numFmtId="209" formatCode="_(&quot;$&quot;* #,##0.0000_);_(&quot;$&quot;* \(#,##0.0000\);_(&quot;$&quot;* &quot;-&quot;??_);_(@_)"/>
    <numFmt numFmtId="210" formatCode="_(* #,##0.0000000_);_(* \(#,##0.0000000\);_(* &quot;-&quot;???????_);_(@_)"/>
    <numFmt numFmtId="211" formatCode="_(* #,##0.00000_);_(* \(#,##0.00000\);_(* &quot;-&quot;??_);_(@_)"/>
    <numFmt numFmtId="212" formatCode="_(* #,##0.0000_);_(* \(#,##0.0000\);_(* &quot;-&quot;????_);_(@_)"/>
    <numFmt numFmtId="213" formatCode="_(* #,##0.000_);_(* \(#,##0.000\);_(* &quot;-&quot;???_);_(@_)"/>
    <numFmt numFmtId="214" formatCode="00000"/>
    <numFmt numFmtId="215" formatCode="0.0000000"/>
    <numFmt numFmtId="216" formatCode="_(* #,##0.000000_);_(* \(#,##0.000000\);_(* &quot;-&quot;???????_);_(@_)"/>
    <numFmt numFmtId="217" formatCode="_(* #,##0.00000_);_(* \(#,##0.00000\);_(* &quot;-&quot;???????_);_(@_)"/>
    <numFmt numFmtId="218" formatCode="_(* #,##0.0000_);_(* \(#,##0.0000\);_(* &quot;-&quot;???????_);_(@_)"/>
    <numFmt numFmtId="219" formatCode="_(* #,##0.000_);_(* \(#,##0.000\);_(* &quot;-&quot;???????_);_(@_)"/>
    <numFmt numFmtId="220" formatCode="_(* #,##0.00_);_(* \(#,##0.00\);_(* &quot;-&quot;???????_);_(@_)"/>
    <numFmt numFmtId="221" formatCode="_(* #,##0.0_);_(* \(#,##0.0\);_(* &quot;-&quot;???????_);_(@_)"/>
    <numFmt numFmtId="222" formatCode="_(* #,##0_);_(* \(#,##0\);_(* &quot;-&quot;???????_);_(@_)"/>
    <numFmt numFmtId="223" formatCode="_(* #,##0.000000_);_(* \(#,##0.000000\);_(* &quot;-&quot;??_);_(@_)"/>
    <numFmt numFmtId="224" formatCode="_(* #,##0.0000000_);_(* \(#,##0.0000000\);_(* &quot;-&quot;??_);_(@_)"/>
    <numFmt numFmtId="225" formatCode="0.000E+00"/>
    <numFmt numFmtId="226" formatCode="0.0000000000"/>
    <numFmt numFmtId="227" formatCode="0.000000000"/>
  </numFmts>
  <fonts count="5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26"/>
      <name val="Arial"/>
      <family val="0"/>
    </font>
    <font>
      <sz val="16"/>
      <name val="Bookman Old Style"/>
      <family val="1"/>
    </font>
    <font>
      <sz val="10"/>
      <name val="Verdana"/>
      <family val="2"/>
    </font>
    <font>
      <b/>
      <sz val="16"/>
      <name val="Arial"/>
      <family val="2"/>
    </font>
    <font>
      <sz val="18"/>
      <name val="Arial"/>
      <family val="0"/>
    </font>
    <font>
      <i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20"/>
      <name val="Arial"/>
      <family val="0"/>
    </font>
    <font>
      <b/>
      <sz val="26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b/>
      <i/>
      <sz val="16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u val="single"/>
      <sz val="8"/>
      <name val="Arial"/>
      <family val="0"/>
    </font>
    <font>
      <i/>
      <sz val="8"/>
      <name val="Arial"/>
      <family val="2"/>
    </font>
    <font>
      <sz val="11"/>
      <name val="Arial"/>
      <family val="0"/>
    </font>
    <font>
      <b/>
      <sz val="11"/>
      <color indexed="43"/>
      <name val="Arial"/>
      <family val="2"/>
    </font>
    <font>
      <sz val="10"/>
      <color indexed="43"/>
      <name val="Arial"/>
      <family val="0"/>
    </font>
    <font>
      <sz val="12"/>
      <color indexed="43"/>
      <name val="Arial"/>
      <family val="0"/>
    </font>
    <font>
      <sz val="14"/>
      <name val="Arial"/>
      <family val="0"/>
    </font>
    <font>
      <sz val="9"/>
      <name val="Arial"/>
      <family val="2"/>
    </font>
    <font>
      <b/>
      <u val="single"/>
      <sz val="12"/>
      <color indexed="43"/>
      <name val="Arial"/>
      <family val="0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b/>
      <sz val="12"/>
      <color indexed="8"/>
      <name val="Arial"/>
      <family val="2"/>
    </font>
    <font>
      <b/>
      <sz val="7.5"/>
      <color indexed="8"/>
      <name val="Arial"/>
      <family val="2"/>
    </font>
    <font>
      <sz val="22"/>
      <name val="Arial"/>
      <family val="0"/>
    </font>
    <font>
      <sz val="14"/>
      <name val="Verdana"/>
      <family val="2"/>
    </font>
    <font>
      <i/>
      <sz val="12"/>
      <name val="Arial"/>
      <family val="2"/>
    </font>
    <font>
      <b/>
      <sz val="8"/>
      <color indexed="8"/>
      <name val="Verdana"/>
      <family val="2"/>
    </font>
    <font>
      <sz val="12"/>
      <name val="Verdana"/>
      <family val="2"/>
    </font>
    <font>
      <b/>
      <sz val="8"/>
      <color indexed="10"/>
      <name val="Arial"/>
      <family val="2"/>
    </font>
    <font>
      <u val="single"/>
      <sz val="10"/>
      <name val="Arial"/>
      <family val="2"/>
    </font>
    <font>
      <sz val="12"/>
      <color indexed="9"/>
      <name val="Arial"/>
      <family val="2"/>
    </font>
    <font>
      <i/>
      <u val="single"/>
      <sz val="10"/>
      <name val="Arial"/>
      <family val="0"/>
    </font>
    <font>
      <vertAlign val="superscript"/>
      <sz val="10"/>
      <name val="Arial"/>
      <family val="0"/>
    </font>
    <font>
      <i/>
      <sz val="8"/>
      <color indexed="16"/>
      <name val="Verdana"/>
      <family val="2"/>
    </font>
    <font>
      <b/>
      <i/>
      <sz val="8"/>
      <color indexed="16"/>
      <name val="Verdana"/>
      <family val="2"/>
    </font>
    <font>
      <sz val="8"/>
      <color indexed="8"/>
      <name val="Verdana"/>
      <family val="2"/>
    </font>
    <font>
      <b/>
      <sz val="8"/>
      <name val="Tahoma"/>
      <family val="0"/>
    </font>
    <font>
      <sz val="8"/>
      <name val="Tahoma"/>
      <family val="0"/>
    </font>
    <font>
      <sz val="16"/>
      <name val="Arial"/>
      <family val="0"/>
    </font>
    <font>
      <b/>
      <sz val="8"/>
      <name val="Arial"/>
      <family val="2"/>
    </font>
    <font>
      <i/>
      <u val="single"/>
      <sz val="11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9"/>
      </left>
      <right style="thin">
        <color indexed="8"/>
      </right>
      <top style="medium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9"/>
      </top>
      <bottom style="thin">
        <color indexed="8"/>
      </bottom>
    </border>
    <border>
      <left style="thin">
        <color indexed="8"/>
      </left>
      <right style="medium">
        <color indexed="9"/>
      </right>
      <top style="medium">
        <color indexed="9"/>
      </top>
      <bottom style="thin">
        <color indexed="8"/>
      </bottom>
    </border>
    <border>
      <left style="medium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9"/>
      </right>
      <top style="thin">
        <color indexed="8"/>
      </top>
      <bottom style="thin">
        <color indexed="8"/>
      </bottom>
    </border>
    <border>
      <left style="medium">
        <color indexed="9"/>
      </left>
      <right style="thin">
        <color indexed="8"/>
      </right>
      <top style="thin">
        <color indexed="8"/>
      </top>
      <bottom style="medium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9"/>
      </bottom>
    </border>
    <border>
      <left style="thin">
        <color indexed="8"/>
      </left>
      <right style="medium">
        <color indexed="9"/>
      </right>
      <top style="thin">
        <color indexed="8"/>
      </top>
      <bottom style="medium">
        <color indexed="9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2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20" applyAlignment="1">
      <alignment/>
    </xf>
    <xf numFmtId="168" fontId="0" fillId="0" borderId="2" xfId="0" applyNumberFormat="1" applyFont="1" applyBorder="1" applyAlignment="1">
      <alignment/>
    </xf>
    <xf numFmtId="168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9" fillId="0" borderId="0" xfId="0" applyFont="1" applyAlignment="1">
      <alignment/>
    </xf>
    <xf numFmtId="0" fontId="0" fillId="0" borderId="3" xfId="0" applyFont="1" applyBorder="1" applyAlignment="1">
      <alignment/>
    </xf>
    <xf numFmtId="2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11" fillId="0" borderId="0" xfId="0" applyFont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9" fillId="0" borderId="0" xfId="0" applyFont="1" applyAlignment="1">
      <alignment horizontal="right"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2" borderId="0" xfId="0" applyFill="1" applyAlignment="1">
      <alignment horizontal="center"/>
    </xf>
    <xf numFmtId="10" fontId="0" fillId="0" borderId="0" xfId="0" applyNumberFormat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168" fontId="0" fillId="0" borderId="9" xfId="0" applyNumberFormat="1" applyBorder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/>
    </xf>
    <xf numFmtId="0" fontId="14" fillId="0" borderId="0" xfId="0" applyFont="1" applyAlignment="1">
      <alignment/>
    </xf>
    <xf numFmtId="168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168" fontId="14" fillId="0" borderId="0" xfId="0" applyNumberFormat="1" applyFont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 horizontal="right"/>
    </xf>
    <xf numFmtId="0" fontId="6" fillId="2" borderId="4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4" fontId="0" fillId="0" borderId="2" xfId="0" applyNumberFormat="1" applyBorder="1" applyAlignment="1">
      <alignment/>
    </xf>
    <xf numFmtId="0" fontId="0" fillId="0" borderId="0" xfId="0" applyAlignment="1">
      <alignment horizontal="right"/>
    </xf>
    <xf numFmtId="0" fontId="0" fillId="2" borderId="2" xfId="0" applyFill="1" applyBorder="1" applyAlignment="1">
      <alignment/>
    </xf>
    <xf numFmtId="0" fontId="17" fillId="0" borderId="0" xfId="0" applyFont="1" applyAlignment="1">
      <alignment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4" fillId="0" borderId="0" xfId="0" applyFont="1" applyAlignment="1">
      <alignment wrapText="1"/>
    </xf>
    <xf numFmtId="0" fontId="14" fillId="3" borderId="16" xfId="0" applyFont="1" applyFill="1" applyBorder="1" applyAlignment="1" applyProtection="1">
      <alignment wrapText="1"/>
      <protection locked="0"/>
    </xf>
    <xf numFmtId="0" fontId="14" fillId="3" borderId="5" xfId="0" applyFont="1" applyFill="1" applyBorder="1" applyAlignment="1" applyProtection="1">
      <alignment wrapText="1"/>
      <protection locked="0"/>
    </xf>
    <xf numFmtId="6" fontId="0" fillId="3" borderId="5" xfId="0" applyNumberFormat="1" applyFill="1" applyBorder="1" applyAlignment="1" applyProtection="1">
      <alignment wrapText="1"/>
      <protection locked="0"/>
    </xf>
    <xf numFmtId="0" fontId="8" fillId="4" borderId="0" xfId="0" applyFont="1" applyFill="1" applyAlignment="1">
      <alignment/>
    </xf>
    <xf numFmtId="8" fontId="0" fillId="0" borderId="0" xfId="0" applyNumberFormat="1" applyAlignment="1">
      <alignment/>
    </xf>
    <xf numFmtId="0" fontId="0" fillId="0" borderId="9" xfId="0" applyBorder="1" applyAlignment="1">
      <alignment horizontal="right"/>
    </xf>
    <xf numFmtId="4" fontId="0" fillId="0" borderId="9" xfId="0" applyNumberFormat="1" applyBorder="1" applyAlignment="1">
      <alignment/>
    </xf>
    <xf numFmtId="0" fontId="0" fillId="2" borderId="0" xfId="0" applyFill="1" applyAlignment="1">
      <alignment horizontal="right"/>
    </xf>
    <xf numFmtId="2" fontId="0" fillId="3" borderId="16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2" fontId="0" fillId="3" borderId="17" xfId="0" applyNumberFormat="1" applyFill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9" fillId="2" borderId="0" xfId="0" applyFont="1" applyFill="1" applyAlignment="1">
      <alignment horizontal="center"/>
    </xf>
    <xf numFmtId="4" fontId="9" fillId="0" borderId="0" xfId="0" applyNumberFormat="1" applyFont="1" applyAlignment="1">
      <alignment/>
    </xf>
    <xf numFmtId="0" fontId="18" fillId="0" borderId="0" xfId="0" applyFont="1" applyAlignment="1">
      <alignment/>
    </xf>
    <xf numFmtId="3" fontId="0" fillId="0" borderId="2" xfId="0" applyNumberFormat="1" applyBorder="1" applyAlignment="1">
      <alignment/>
    </xf>
    <xf numFmtId="0" fontId="19" fillId="5" borderId="1" xfId="0" applyFont="1" applyFill="1" applyBorder="1" applyAlignment="1">
      <alignment/>
    </xf>
    <xf numFmtId="0" fontId="19" fillId="5" borderId="4" xfId="0" applyFont="1" applyFill="1" applyBorder="1" applyAlignment="1">
      <alignment/>
    </xf>
    <xf numFmtId="0" fontId="20" fillId="5" borderId="5" xfId="0" applyFont="1" applyFill="1" applyBorder="1" applyAlignment="1">
      <alignment/>
    </xf>
    <xf numFmtId="6" fontId="0" fillId="0" borderId="0" xfId="0" applyNumberFormat="1" applyAlignment="1">
      <alignment/>
    </xf>
    <xf numFmtId="174" fontId="9" fillId="0" borderId="9" xfId="0" applyNumberFormat="1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21" fillId="2" borderId="4" xfId="0" applyFont="1" applyFill="1" applyBorder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7" xfId="0" applyBorder="1" applyAlignment="1">
      <alignment/>
    </xf>
    <xf numFmtId="0" fontId="0" fillId="0" borderId="7" xfId="0" applyFill="1" applyBorder="1" applyAlignment="1">
      <alignment horizontal="right"/>
    </xf>
    <xf numFmtId="4" fontId="0" fillId="0" borderId="0" xfId="0" applyNumberFormat="1" applyBorder="1" applyAlignment="1">
      <alignment/>
    </xf>
    <xf numFmtId="175" fontId="0" fillId="0" borderId="0" xfId="0" applyNumberFormat="1" applyAlignment="1">
      <alignment/>
    </xf>
    <xf numFmtId="0" fontId="9" fillId="6" borderId="18" xfId="0" applyFont="1" applyFill="1" applyBorder="1" applyAlignment="1" applyProtection="1">
      <alignment/>
      <protection locked="0"/>
    </xf>
    <xf numFmtId="0" fontId="9" fillId="6" borderId="19" xfId="0" applyFont="1" applyFill="1" applyBorder="1" applyAlignment="1" applyProtection="1">
      <alignment/>
      <protection locked="0"/>
    </xf>
    <xf numFmtId="9" fontId="9" fillId="6" borderId="19" xfId="0" applyNumberFormat="1" applyFont="1" applyFill="1" applyBorder="1" applyAlignment="1" applyProtection="1">
      <alignment/>
      <protection locked="0"/>
    </xf>
    <xf numFmtId="168" fontId="9" fillId="6" borderId="20" xfId="0" applyNumberFormat="1" applyFont="1" applyFill="1" applyBorder="1" applyAlignment="1" applyProtection="1">
      <alignment/>
      <protection locked="0"/>
    </xf>
    <xf numFmtId="9" fontId="0" fillId="5" borderId="21" xfId="21" applyFill="1" applyBorder="1" applyAlignment="1" applyProtection="1">
      <alignment/>
      <protection locked="0"/>
    </xf>
    <xf numFmtId="14" fontId="5" fillId="0" borderId="0" xfId="0" applyNumberFormat="1" applyFont="1" applyAlignment="1">
      <alignment/>
    </xf>
    <xf numFmtId="0" fontId="13" fillId="0" borderId="22" xfId="0" applyFont="1" applyBorder="1" applyAlignment="1">
      <alignment/>
    </xf>
    <xf numFmtId="0" fontId="3" fillId="0" borderId="0" xfId="0" applyFont="1" applyAlignment="1">
      <alignment horizontal="left"/>
    </xf>
    <xf numFmtId="168" fontId="9" fillId="0" borderId="0" xfId="0" applyNumberFormat="1" applyFont="1" applyAlignment="1">
      <alignment/>
    </xf>
    <xf numFmtId="180" fontId="0" fillId="0" borderId="0" xfId="15" applyNumberFormat="1" applyAlignment="1">
      <alignment/>
    </xf>
    <xf numFmtId="0" fontId="0" fillId="0" borderId="0" xfId="0" applyBorder="1" applyAlignment="1">
      <alignment horizontal="center"/>
    </xf>
    <xf numFmtId="168" fontId="0" fillId="0" borderId="0" xfId="0" applyNumberFormat="1" applyBorder="1" applyAlignment="1">
      <alignment/>
    </xf>
    <xf numFmtId="168" fontId="0" fillId="0" borderId="4" xfId="0" applyNumberFormat="1" applyFill="1" applyBorder="1" applyAlignment="1">
      <alignment/>
    </xf>
    <xf numFmtId="0" fontId="9" fillId="7" borderId="23" xfId="0" applyFont="1" applyFill="1" applyBorder="1" applyAlignment="1">
      <alignment/>
    </xf>
    <xf numFmtId="182" fontId="9" fillId="7" borderId="20" xfId="0" applyNumberFormat="1" applyFont="1" applyFill="1" applyBorder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168" fontId="14" fillId="0" borderId="2" xfId="0" applyNumberFormat="1" applyFont="1" applyBorder="1" applyAlignment="1">
      <alignment/>
    </xf>
    <xf numFmtId="0" fontId="9" fillId="5" borderId="16" xfId="0" applyFont="1" applyFill="1" applyBorder="1" applyAlignment="1" applyProtection="1">
      <alignment/>
      <protection locked="0"/>
    </xf>
    <xf numFmtId="2" fontId="9" fillId="0" borderId="16" xfId="0" applyNumberFormat="1" applyFont="1" applyFill="1" applyBorder="1" applyAlignment="1">
      <alignment/>
    </xf>
    <xf numFmtId="2" fontId="9" fillId="0" borderId="16" xfId="0" applyNumberFormat="1" applyFont="1" applyFill="1" applyBorder="1" applyAlignment="1" applyProtection="1">
      <alignment/>
      <protection/>
    </xf>
    <xf numFmtId="4" fontId="9" fillId="0" borderId="16" xfId="0" applyNumberFormat="1" applyFont="1" applyBorder="1" applyAlignment="1">
      <alignment/>
    </xf>
    <xf numFmtId="0" fontId="15" fillId="0" borderId="0" xfId="0" applyFont="1" applyAlignment="1">
      <alignment horizontal="right"/>
    </xf>
    <xf numFmtId="168" fontId="9" fillId="0" borderId="0" xfId="0" applyNumberFormat="1" applyFont="1" applyFill="1" applyAlignment="1">
      <alignment/>
    </xf>
    <xf numFmtId="183" fontId="9" fillId="0" borderId="0" xfId="0" applyNumberFormat="1" applyFont="1" applyFill="1" applyBorder="1" applyAlignment="1" applyProtection="1">
      <alignment/>
      <protection locked="0"/>
    </xf>
    <xf numFmtId="168" fontId="0" fillId="0" borderId="2" xfId="0" applyNumberFormat="1" applyFont="1" applyFill="1" applyBorder="1" applyAlignment="1">
      <alignment horizontal="left"/>
    </xf>
    <xf numFmtId="0" fontId="9" fillId="6" borderId="24" xfId="0" applyFont="1" applyFill="1" applyBorder="1" applyAlignment="1" applyProtection="1">
      <alignment/>
      <protection locked="0"/>
    </xf>
    <xf numFmtId="0" fontId="9" fillId="6" borderId="23" xfId="0" applyFont="1" applyFill="1" applyBorder="1" applyAlignment="1" applyProtection="1">
      <alignment/>
      <protection locked="0"/>
    </xf>
    <xf numFmtId="0" fontId="0" fillId="0" borderId="9" xfId="0" applyFont="1" applyFill="1" applyBorder="1" applyAlignment="1">
      <alignment/>
    </xf>
    <xf numFmtId="168" fontId="0" fillId="0" borderId="9" xfId="0" applyNumberFormat="1" applyFont="1" applyBorder="1" applyAlignment="1">
      <alignment/>
    </xf>
    <xf numFmtId="0" fontId="0" fillId="0" borderId="9" xfId="0" applyFont="1" applyBorder="1" applyAlignment="1">
      <alignment/>
    </xf>
    <xf numFmtId="169" fontId="14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169" fontId="14" fillId="0" borderId="4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9" xfId="0" applyFont="1" applyBorder="1" applyAlignment="1">
      <alignment horizontal="left"/>
    </xf>
    <xf numFmtId="0" fontId="0" fillId="2" borderId="7" xfId="0" applyFill="1" applyBorder="1" applyAlignment="1">
      <alignment horizontal="right"/>
    </xf>
    <xf numFmtId="4" fontId="1" fillId="0" borderId="0" xfId="20" applyNumberFormat="1" applyAlignment="1">
      <alignment/>
    </xf>
    <xf numFmtId="0" fontId="0" fillId="2" borderId="0" xfId="0" applyFill="1" applyAlignment="1">
      <alignment horizontal="left"/>
    </xf>
    <xf numFmtId="9" fontId="0" fillId="0" borderId="0" xfId="21" applyAlignment="1">
      <alignment/>
    </xf>
    <xf numFmtId="0" fontId="0" fillId="5" borderId="16" xfId="0" applyNumberFormat="1" applyFont="1" applyFill="1" applyBorder="1" applyAlignment="1" applyProtection="1">
      <alignment horizontal="right"/>
      <protection locked="0"/>
    </xf>
    <xf numFmtId="168" fontId="0" fillId="5" borderId="0" xfId="0" applyNumberFormat="1" applyFill="1" applyAlignment="1" applyProtection="1">
      <alignment/>
      <protection locked="0"/>
    </xf>
    <xf numFmtId="168" fontId="0" fillId="5" borderId="10" xfId="0" applyNumberFormat="1" applyFill="1" applyBorder="1" applyAlignment="1" applyProtection="1">
      <alignment/>
      <protection locked="0"/>
    </xf>
    <xf numFmtId="168" fontId="0" fillId="0" borderId="0" xfId="0" applyNumberFormat="1" applyAlignment="1" applyProtection="1">
      <alignment/>
      <protection/>
    </xf>
    <xf numFmtId="168" fontId="0" fillId="5" borderId="0" xfId="0" applyNumberFormat="1" applyFill="1" applyBorder="1" applyAlignment="1" applyProtection="1">
      <alignment/>
      <protection locked="0"/>
    </xf>
    <xf numFmtId="168" fontId="0" fillId="5" borderId="0" xfId="0" applyNumberFormat="1" applyFill="1" applyAlignment="1" applyProtection="1">
      <alignment/>
      <protection/>
    </xf>
    <xf numFmtId="3" fontId="9" fillId="0" borderId="0" xfId="0" applyNumberFormat="1" applyFont="1" applyAlignment="1">
      <alignment/>
    </xf>
    <xf numFmtId="0" fontId="0" fillId="5" borderId="0" xfId="0" applyFill="1" applyAlignment="1" applyProtection="1">
      <alignment/>
      <protection/>
    </xf>
    <xf numFmtId="6" fontId="0" fillId="5" borderId="0" xfId="0" applyNumberFormat="1" applyFill="1" applyAlignment="1" applyProtection="1">
      <alignment/>
      <protection/>
    </xf>
    <xf numFmtId="0" fontId="14" fillId="0" borderId="5" xfId="0" applyFont="1" applyBorder="1" applyAlignment="1" applyProtection="1">
      <alignment wrapText="1"/>
      <protection/>
    </xf>
    <xf numFmtId="0" fontId="0" fillId="2" borderId="0" xfId="0" applyFill="1" applyBorder="1" applyAlignment="1">
      <alignment horizontal="center"/>
    </xf>
    <xf numFmtId="2" fontId="0" fillId="0" borderId="0" xfId="0" applyNumberFormat="1" applyAlignment="1">
      <alignment/>
    </xf>
    <xf numFmtId="0" fontId="23" fillId="0" borderId="0" xfId="0" applyFont="1" applyAlignment="1">
      <alignment/>
    </xf>
    <xf numFmtId="0" fontId="14" fillId="0" borderId="0" xfId="0" applyFont="1" applyBorder="1" applyAlignment="1">
      <alignment horizontal="right"/>
    </xf>
    <xf numFmtId="168" fontId="0" fillId="0" borderId="0" xfId="0" applyNumberFormat="1" applyFill="1" applyAlignment="1">
      <alignment/>
    </xf>
    <xf numFmtId="9" fontId="0" fillId="3" borderId="23" xfId="21" applyFill="1" applyBorder="1" applyAlignment="1">
      <alignment/>
    </xf>
    <xf numFmtId="0" fontId="0" fillId="5" borderId="25" xfId="0" applyFill="1" applyBorder="1" applyAlignment="1">
      <alignment/>
    </xf>
    <xf numFmtId="180" fontId="0" fillId="3" borderId="23" xfId="15" applyNumberFormat="1" applyFill="1" applyBorder="1" applyAlignment="1">
      <alignment/>
    </xf>
    <xf numFmtId="0" fontId="24" fillId="0" borderId="0" xfId="0" applyFont="1" applyAlignment="1">
      <alignment vertical="top"/>
    </xf>
    <xf numFmtId="180" fontId="0" fillId="3" borderId="23" xfId="15" applyNumberFormat="1" applyFont="1" applyFill="1" applyBorder="1" applyAlignment="1">
      <alignment/>
    </xf>
    <xf numFmtId="168" fontId="0" fillId="5" borderId="26" xfId="0" applyNumberFormat="1" applyFill="1" applyBorder="1" applyAlignment="1">
      <alignment/>
    </xf>
    <xf numFmtId="0" fontId="0" fillId="5" borderId="27" xfId="0" applyFill="1" applyBorder="1" applyAlignment="1">
      <alignment/>
    </xf>
    <xf numFmtId="0" fontId="0" fillId="5" borderId="28" xfId="0" applyFill="1" applyBorder="1" applyAlignment="1">
      <alignment horizontal="center"/>
    </xf>
    <xf numFmtId="0" fontId="25" fillId="0" borderId="0" xfId="0" applyFont="1" applyAlignment="1">
      <alignment horizontal="right"/>
    </xf>
    <xf numFmtId="174" fontId="0" fillId="3" borderId="23" xfId="0" applyNumberFormat="1" applyFill="1" applyBorder="1" applyAlignment="1">
      <alignment/>
    </xf>
    <xf numFmtId="0" fontId="0" fillId="5" borderId="29" xfId="0" applyFill="1" applyBorder="1" applyAlignment="1">
      <alignment/>
    </xf>
    <xf numFmtId="0" fontId="0" fillId="5" borderId="30" xfId="0" applyFill="1" applyBorder="1" applyAlignment="1">
      <alignment/>
    </xf>
    <xf numFmtId="9" fontId="0" fillId="5" borderId="16" xfId="0" applyNumberFormat="1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11" fillId="2" borderId="0" xfId="0" applyFont="1" applyFill="1" applyAlignment="1">
      <alignment/>
    </xf>
    <xf numFmtId="173" fontId="0" fillId="3" borderId="23" xfId="0" applyNumberFormat="1" applyFill="1" applyBorder="1" applyAlignment="1">
      <alignment/>
    </xf>
    <xf numFmtId="168" fontId="0" fillId="2" borderId="0" xfId="0" applyNumberFormat="1" applyFill="1" applyAlignment="1">
      <alignment/>
    </xf>
    <xf numFmtId="173" fontId="0" fillId="2" borderId="32" xfId="0" applyNumberFormat="1" applyFill="1" applyBorder="1" applyAlignment="1">
      <alignment/>
    </xf>
    <xf numFmtId="173" fontId="0" fillId="2" borderId="0" xfId="0" applyNumberFormat="1" applyFill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Fill="1" applyAlignment="1">
      <alignment/>
    </xf>
    <xf numFmtId="173" fontId="0" fillId="0" borderId="9" xfId="0" applyNumberFormat="1" applyBorder="1" applyAlignment="1">
      <alignment/>
    </xf>
    <xf numFmtId="9" fontId="0" fillId="0" borderId="0" xfId="0" applyNumberFormat="1" applyAlignment="1">
      <alignment/>
    </xf>
    <xf numFmtId="168" fontId="0" fillId="0" borderId="2" xfId="0" applyNumberFormat="1" applyFill="1" applyBorder="1" applyAlignment="1">
      <alignment/>
    </xf>
    <xf numFmtId="0" fontId="14" fillId="0" borderId="0" xfId="0" applyFont="1" applyFill="1" applyAlignment="1">
      <alignment/>
    </xf>
    <xf numFmtId="168" fontId="14" fillId="0" borderId="2" xfId="0" applyNumberFormat="1" applyFont="1" applyFill="1" applyBorder="1" applyAlignment="1">
      <alignment/>
    </xf>
    <xf numFmtId="0" fontId="0" fillId="0" borderId="9" xfId="0" applyFill="1" applyBorder="1" applyAlignment="1">
      <alignment/>
    </xf>
    <xf numFmtId="168" fontId="0" fillId="0" borderId="9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>
      <alignment/>
    </xf>
    <xf numFmtId="168" fontId="0" fillId="3" borderId="0" xfId="0" applyNumberFormat="1" applyFill="1" applyAlignment="1">
      <alignment/>
    </xf>
    <xf numFmtId="168" fontId="0" fillId="3" borderId="10" xfId="0" applyNumberFormat="1" applyFill="1" applyBorder="1" applyAlignment="1">
      <alignment/>
    </xf>
    <xf numFmtId="168" fontId="0" fillId="0" borderId="10" xfId="0" applyNumberFormat="1" applyFill="1" applyBorder="1" applyAlignment="1">
      <alignment/>
    </xf>
    <xf numFmtId="168" fontId="0" fillId="3" borderId="0" xfId="0" applyNumberFormat="1" applyFill="1" applyAlignment="1" applyProtection="1">
      <alignment/>
      <protection/>
    </xf>
    <xf numFmtId="0" fontId="26" fillId="0" borderId="16" xfId="0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4" fontId="27" fillId="8" borderId="2" xfId="0" applyNumberFormat="1" applyFont="1" applyFill="1" applyBorder="1" applyAlignment="1">
      <alignment/>
    </xf>
    <xf numFmtId="4" fontId="27" fillId="8" borderId="2" xfId="0" applyNumberFormat="1" applyFont="1" applyFill="1" applyBorder="1" applyAlignment="1">
      <alignment/>
    </xf>
    <xf numFmtId="9" fontId="9" fillId="6" borderId="19" xfId="21" applyFont="1" applyFill="1" applyBorder="1" applyAlignment="1" applyProtection="1">
      <alignment/>
      <protection locked="0"/>
    </xf>
    <xf numFmtId="10" fontId="0" fillId="0" borderId="2" xfId="0" applyNumberFormat="1" applyBorder="1" applyAlignment="1">
      <alignment/>
    </xf>
    <xf numFmtId="168" fontId="28" fillId="8" borderId="2" xfId="0" applyNumberFormat="1" applyFont="1" applyFill="1" applyBorder="1" applyAlignment="1">
      <alignment/>
    </xf>
    <xf numFmtId="4" fontId="0" fillId="0" borderId="0" xfId="0" applyNumberFormat="1" applyAlignment="1">
      <alignment horizontal="left"/>
    </xf>
    <xf numFmtId="0" fontId="30" fillId="0" borderId="0" xfId="0" applyFont="1" applyAlignment="1">
      <alignment horizontal="center"/>
    </xf>
    <xf numFmtId="200" fontId="0" fillId="0" borderId="0" xfId="0" applyNumberFormat="1" applyAlignment="1">
      <alignment/>
    </xf>
    <xf numFmtId="200" fontId="0" fillId="0" borderId="0" xfId="0" applyNumberFormat="1" applyAlignment="1">
      <alignment horizontal="left"/>
    </xf>
    <xf numFmtId="0" fontId="31" fillId="0" borderId="0" xfId="0" applyFont="1" applyAlignment="1">
      <alignment horizontal="right"/>
    </xf>
    <xf numFmtId="0" fontId="27" fillId="8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15" fillId="0" borderId="0" xfId="0" applyFont="1" applyAlignment="1">
      <alignment/>
    </xf>
    <xf numFmtId="168" fontId="0" fillId="0" borderId="10" xfId="0" applyNumberFormat="1" applyBorder="1" applyAlignment="1" applyProtection="1">
      <alignment/>
      <protection/>
    </xf>
    <xf numFmtId="173" fontId="1" fillId="2" borderId="32" xfId="20" applyNumberFormat="1" applyFill="1" applyBorder="1" applyAlignment="1">
      <alignment/>
    </xf>
    <xf numFmtId="0" fontId="28" fillId="8" borderId="0" xfId="0" applyFont="1" applyFill="1" applyAlignment="1">
      <alignment horizontal="right"/>
    </xf>
    <xf numFmtId="0" fontId="20" fillId="8" borderId="0" xfId="0" applyFont="1" applyFill="1" applyAlignment="1">
      <alignment horizontal="right"/>
    </xf>
    <xf numFmtId="168" fontId="21" fillId="3" borderId="20" xfId="0" applyNumberFormat="1" applyFont="1" applyFill="1" applyBorder="1" applyAlignment="1">
      <alignment/>
    </xf>
    <xf numFmtId="168" fontId="21" fillId="3" borderId="19" xfId="0" applyNumberFormat="1" applyFont="1" applyFill="1" applyBorder="1" applyAlignment="1">
      <alignment/>
    </xf>
    <xf numFmtId="0" fontId="29" fillId="8" borderId="0" xfId="0" applyFont="1" applyFill="1" applyAlignment="1">
      <alignment horizontal="right"/>
    </xf>
    <xf numFmtId="168" fontId="32" fillId="8" borderId="2" xfId="20" applyNumberFormat="1" applyFont="1" applyFill="1" applyBorder="1" applyAlignment="1">
      <alignment/>
    </xf>
    <xf numFmtId="9" fontId="9" fillId="0" borderId="0" xfId="21" applyFont="1" applyAlignment="1">
      <alignment/>
    </xf>
    <xf numFmtId="0" fontId="30" fillId="0" borderId="0" xfId="0" applyFont="1" applyAlignment="1">
      <alignment/>
    </xf>
    <xf numFmtId="9" fontId="30" fillId="0" borderId="0" xfId="21" applyFont="1" applyAlignment="1">
      <alignment/>
    </xf>
    <xf numFmtId="184" fontId="30" fillId="0" borderId="0" xfId="21" applyNumberFormat="1" applyFont="1" applyAlignment="1">
      <alignment/>
    </xf>
    <xf numFmtId="173" fontId="30" fillId="0" borderId="0" xfId="0" applyNumberFormat="1" applyFont="1" applyAlignment="1">
      <alignment/>
    </xf>
    <xf numFmtId="9" fontId="30" fillId="0" borderId="0" xfId="0" applyNumberFormat="1" applyFont="1" applyAlignment="1">
      <alignment/>
    </xf>
    <xf numFmtId="173" fontId="0" fillId="0" borderId="0" xfId="0" applyNumberFormat="1" applyAlignment="1">
      <alignment horizontal="right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/>
      <protection locked="0"/>
    </xf>
    <xf numFmtId="0" fontId="0" fillId="2" borderId="16" xfId="0" applyFill="1" applyBorder="1" applyAlignment="1">
      <alignment horizontal="center"/>
    </xf>
    <xf numFmtId="0" fontId="0" fillId="3" borderId="16" xfId="0" applyFill="1" applyBorder="1" applyAlignment="1" applyProtection="1">
      <alignment horizontal="center"/>
      <protection/>
    </xf>
    <xf numFmtId="0" fontId="0" fillId="0" borderId="9" xfId="0" applyFill="1" applyBorder="1" applyAlignment="1">
      <alignment horizontal="right"/>
    </xf>
    <xf numFmtId="172" fontId="9" fillId="0" borderId="0" xfId="21" applyNumberFormat="1" applyFont="1" applyAlignment="1">
      <alignment/>
    </xf>
    <xf numFmtId="173" fontId="0" fillId="0" borderId="0" xfId="0" applyNumberFormat="1" applyBorder="1" applyAlignment="1">
      <alignment/>
    </xf>
    <xf numFmtId="173" fontId="0" fillId="2" borderId="0" xfId="0" applyNumberFormat="1" applyFill="1" applyBorder="1" applyAlignment="1">
      <alignment/>
    </xf>
    <xf numFmtId="0" fontId="0" fillId="5" borderId="33" xfId="0" applyFill="1" applyBorder="1" applyAlignment="1">
      <alignment horizontal="right"/>
    </xf>
    <xf numFmtId="0" fontId="0" fillId="5" borderId="33" xfId="0" applyFill="1" applyBorder="1" applyAlignment="1">
      <alignment horizontal="left"/>
    </xf>
    <xf numFmtId="0" fontId="0" fillId="5" borderId="25" xfId="0" applyFill="1" applyBorder="1" applyAlignment="1">
      <alignment horizontal="left"/>
    </xf>
    <xf numFmtId="43" fontId="0" fillId="0" borderId="0" xfId="15" applyAlignment="1">
      <alignment/>
    </xf>
    <xf numFmtId="43" fontId="0" fillId="0" borderId="0" xfId="0" applyNumberFormat="1" applyAlignment="1">
      <alignment/>
    </xf>
    <xf numFmtId="3" fontId="33" fillId="0" borderId="34" xfId="0" applyNumberFormat="1" applyFont="1" applyBorder="1" applyAlignment="1">
      <alignment horizontal="right" vertical="top" wrapText="1"/>
    </xf>
    <xf numFmtId="0" fontId="34" fillId="0" borderId="35" xfId="0" applyFont="1" applyBorder="1" applyAlignment="1">
      <alignment horizontal="center" vertical="top" wrapText="1"/>
    </xf>
    <xf numFmtId="0" fontId="34" fillId="0" borderId="36" xfId="0" applyFont="1" applyBorder="1" applyAlignment="1">
      <alignment horizontal="center" vertical="top" wrapText="1"/>
    </xf>
    <xf numFmtId="0" fontId="34" fillId="0" borderId="37" xfId="0" applyFont="1" applyBorder="1" applyAlignment="1">
      <alignment horizontal="center" vertical="top" wrapText="1"/>
    </xf>
    <xf numFmtId="0" fontId="34" fillId="0" borderId="38" xfId="0" applyFont="1" applyBorder="1" applyAlignment="1">
      <alignment horizontal="center" vertical="top" wrapText="1"/>
    </xf>
    <xf numFmtId="3" fontId="33" fillId="0" borderId="39" xfId="0" applyNumberFormat="1" applyFont="1" applyBorder="1" applyAlignment="1">
      <alignment horizontal="right" vertical="top" wrapText="1"/>
    </xf>
    <xf numFmtId="0" fontId="34" fillId="0" borderId="40" xfId="0" applyFont="1" applyBorder="1" applyAlignment="1">
      <alignment horizontal="center" vertical="top" wrapText="1"/>
    </xf>
    <xf numFmtId="3" fontId="33" fillId="0" borderId="41" xfId="0" applyNumberFormat="1" applyFont="1" applyBorder="1" applyAlignment="1">
      <alignment horizontal="right" vertical="top" wrapText="1"/>
    </xf>
    <xf numFmtId="3" fontId="33" fillId="0" borderId="42" xfId="0" applyNumberFormat="1" applyFont="1" applyBorder="1" applyAlignment="1">
      <alignment horizontal="right" vertical="top" wrapText="1"/>
    </xf>
    <xf numFmtId="43" fontId="0" fillId="0" borderId="0" xfId="15" applyNumberFormat="1" applyAlignment="1">
      <alignment/>
    </xf>
    <xf numFmtId="43" fontId="0" fillId="0" borderId="9" xfId="15" applyNumberFormat="1" applyBorder="1" applyAlignment="1">
      <alignment/>
    </xf>
    <xf numFmtId="180" fontId="0" fillId="0" borderId="9" xfId="15" applyNumberFormat="1" applyBorder="1" applyAlignment="1">
      <alignment/>
    </xf>
    <xf numFmtId="43" fontId="0" fillId="3" borderId="23" xfId="15" applyNumberFormat="1" applyFont="1" applyFill="1" applyBorder="1" applyAlignment="1">
      <alignment/>
    </xf>
    <xf numFmtId="180" fontId="0" fillId="5" borderId="0" xfId="15" applyNumberFormat="1" applyFill="1" applyAlignment="1" applyProtection="1">
      <alignment/>
      <protection locked="0"/>
    </xf>
    <xf numFmtId="180" fontId="0" fillId="5" borderId="10" xfId="15" applyNumberFormat="1" applyFill="1" applyBorder="1" applyAlignment="1" applyProtection="1">
      <alignment/>
      <protection locked="0"/>
    </xf>
    <xf numFmtId="0" fontId="35" fillId="0" borderId="0" xfId="0" applyFont="1" applyAlignment="1">
      <alignment/>
    </xf>
    <xf numFmtId="180" fontId="0" fillId="0" borderId="0" xfId="0" applyNumberFormat="1" applyAlignment="1">
      <alignment/>
    </xf>
    <xf numFmtId="43" fontId="0" fillId="0" borderId="1" xfId="0" applyNumberFormat="1" applyBorder="1" applyAlignment="1">
      <alignment/>
    </xf>
    <xf numFmtId="201" fontId="0" fillId="0" borderId="0" xfId="0" applyNumberFormat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0" applyNumberFormat="1" applyFill="1" applyBorder="1" applyAlignment="1">
      <alignment/>
    </xf>
    <xf numFmtId="9" fontId="0" fillId="2" borderId="0" xfId="0" applyNumberFormat="1" applyFill="1" applyAlignment="1">
      <alignment horizontal="center"/>
    </xf>
    <xf numFmtId="39" fontId="0" fillId="0" borderId="0" xfId="17" applyNumberFormat="1" applyAlignment="1">
      <alignment/>
    </xf>
    <xf numFmtId="9" fontId="0" fillId="0" borderId="0" xfId="21" applyAlignment="1">
      <alignment horizontal="left"/>
    </xf>
    <xf numFmtId="0" fontId="1" fillId="0" borderId="0" xfId="20" applyBorder="1" applyAlignment="1">
      <alignment horizontal="right"/>
    </xf>
    <xf numFmtId="168" fontId="1" fillId="0" borderId="0" xfId="20" applyNumberFormat="1" applyAlignment="1">
      <alignment/>
    </xf>
    <xf numFmtId="5" fontId="0" fillId="0" borderId="0" xfId="0" applyNumberFormat="1" applyAlignment="1">
      <alignment/>
    </xf>
    <xf numFmtId="0" fontId="37" fillId="0" borderId="0" xfId="0" applyFont="1" applyAlignment="1">
      <alignment/>
    </xf>
    <xf numFmtId="0" fontId="0" fillId="2" borderId="0" xfId="0" applyFont="1" applyFill="1" applyAlignment="1">
      <alignment horizontal="center"/>
    </xf>
    <xf numFmtId="0" fontId="0" fillId="3" borderId="16" xfId="0" applyFill="1" applyBorder="1" applyAlignment="1">
      <alignment/>
    </xf>
    <xf numFmtId="202" fontId="0" fillId="0" borderId="0" xfId="21" applyNumberFormat="1" applyFill="1" applyBorder="1" applyAlignment="1">
      <alignment/>
    </xf>
    <xf numFmtId="3" fontId="0" fillId="3" borderId="16" xfId="0" applyNumberFormat="1" applyFill="1" applyBorder="1" applyAlignment="1">
      <alignment/>
    </xf>
    <xf numFmtId="43" fontId="0" fillId="0" borderId="0" xfId="15" applyAlignment="1">
      <alignment/>
    </xf>
    <xf numFmtId="180" fontId="0" fillId="0" borderId="0" xfId="15" applyNumberFormat="1" applyAlignment="1">
      <alignment/>
    </xf>
    <xf numFmtId="43" fontId="0" fillId="2" borderId="1" xfId="0" applyNumberFormat="1" applyFill="1" applyBorder="1" applyAlignment="1">
      <alignment/>
    </xf>
    <xf numFmtId="9" fontId="0" fillId="0" borderId="0" xfId="21" applyAlignment="1">
      <alignment/>
    </xf>
    <xf numFmtId="43" fontId="9" fillId="0" borderId="0" xfId="15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68" fontId="0" fillId="0" borderId="0" xfId="0" applyNumberFormat="1" applyFill="1" applyBorder="1" applyAlignment="1">
      <alignment/>
    </xf>
    <xf numFmtId="0" fontId="0" fillId="2" borderId="2" xfId="0" applyFill="1" applyBorder="1" applyAlignment="1">
      <alignment horizontal="center"/>
    </xf>
    <xf numFmtId="168" fontId="0" fillId="2" borderId="2" xfId="0" applyNumberFormat="1" applyFill="1" applyBorder="1" applyAlignment="1">
      <alignment horizontal="center"/>
    </xf>
    <xf numFmtId="0" fontId="0" fillId="0" borderId="10" xfId="0" applyBorder="1" applyAlignment="1">
      <alignment horizontal="right"/>
    </xf>
    <xf numFmtId="9" fontId="0" fillId="0" borderId="10" xfId="21" applyBorder="1" applyAlignment="1">
      <alignment/>
    </xf>
    <xf numFmtId="0" fontId="40" fillId="0" borderId="0" xfId="0" applyFont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40" fillId="0" borderId="0" xfId="0" applyNumberFormat="1" applyFont="1" applyAlignment="1">
      <alignment/>
    </xf>
    <xf numFmtId="0" fontId="40" fillId="0" borderId="0" xfId="0" applyFont="1" applyAlignment="1">
      <alignment horizontal="right"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0" fontId="7" fillId="0" borderId="9" xfId="0" applyFont="1" applyBorder="1" applyAlignment="1">
      <alignment/>
    </xf>
    <xf numFmtId="0" fontId="9" fillId="3" borderId="23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>
      <alignment/>
    </xf>
    <xf numFmtId="0" fontId="15" fillId="2" borderId="4" xfId="0" applyFont="1" applyFill="1" applyBorder="1" applyAlignment="1">
      <alignment/>
    </xf>
    <xf numFmtId="0" fontId="7" fillId="2" borderId="30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27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41" fillId="6" borderId="0" xfId="0" applyFont="1" applyFill="1" applyAlignment="1">
      <alignment/>
    </xf>
    <xf numFmtId="0" fontId="9" fillId="6" borderId="0" xfId="0" applyFont="1" applyFill="1" applyAlignment="1">
      <alignment horizontal="left"/>
    </xf>
    <xf numFmtId="0" fontId="7" fillId="2" borderId="5" xfId="0" applyFont="1" applyFill="1" applyBorder="1" applyAlignment="1">
      <alignment horizontal="center"/>
    </xf>
    <xf numFmtId="1" fontId="0" fillId="3" borderId="23" xfId="21" applyNumberFormat="1" applyFill="1" applyBorder="1" applyAlignment="1">
      <alignment/>
    </xf>
    <xf numFmtId="0" fontId="0" fillId="2" borderId="9" xfId="0" applyFill="1" applyBorder="1" applyAlignment="1">
      <alignment/>
    </xf>
    <xf numFmtId="200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43" fontId="1" fillId="0" borderId="0" xfId="20" applyAlignment="1">
      <alignment/>
    </xf>
    <xf numFmtId="1" fontId="0" fillId="0" borderId="0" xfId="0" applyNumberFormat="1" applyAlignment="1">
      <alignment horizontal="right"/>
    </xf>
    <xf numFmtId="0" fontId="9" fillId="0" borderId="7" xfId="0" applyFont="1" applyBorder="1" applyAlignment="1">
      <alignment/>
    </xf>
    <xf numFmtId="0" fontId="9" fillId="0" borderId="7" xfId="0" applyFont="1" applyFill="1" applyBorder="1" applyAlignment="1">
      <alignment horizontal="right"/>
    </xf>
    <xf numFmtId="4" fontId="9" fillId="0" borderId="9" xfId="0" applyNumberFormat="1" applyFont="1" applyBorder="1" applyAlignment="1">
      <alignment/>
    </xf>
    <xf numFmtId="0" fontId="31" fillId="0" borderId="0" xfId="0" applyFont="1" applyAlignment="1">
      <alignment horizontal="left"/>
    </xf>
    <xf numFmtId="0" fontId="0" fillId="0" borderId="13" xfId="0" applyFont="1" applyFill="1" applyBorder="1" applyAlignment="1">
      <alignment/>
    </xf>
    <xf numFmtId="180" fontId="9" fillId="0" borderId="25" xfId="0" applyNumberFormat="1" applyFont="1" applyFill="1" applyBorder="1" applyAlignment="1">
      <alignment/>
    </xf>
    <xf numFmtId="168" fontId="9" fillId="0" borderId="27" xfId="0" applyNumberFormat="1" applyFont="1" applyBorder="1" applyAlignment="1">
      <alignment/>
    </xf>
    <xf numFmtId="180" fontId="9" fillId="0" borderId="27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168" fontId="9" fillId="0" borderId="30" xfId="0" applyNumberFormat="1" applyFont="1" applyBorder="1" applyAlignment="1">
      <alignment/>
    </xf>
    <xf numFmtId="173" fontId="9" fillId="0" borderId="0" xfId="0" applyNumberFormat="1" applyFont="1" applyAlignment="1">
      <alignment/>
    </xf>
    <xf numFmtId="4" fontId="15" fillId="0" borderId="0" xfId="0" applyNumberFormat="1" applyFont="1" applyAlignment="1">
      <alignment horizontal="right"/>
    </xf>
    <xf numFmtId="168" fontId="7" fillId="0" borderId="0" xfId="0" applyNumberFormat="1" applyFont="1" applyAlignment="1">
      <alignment horizontal="right"/>
    </xf>
    <xf numFmtId="0" fontId="1" fillId="0" borderId="9" xfId="20" applyBorder="1" applyAlignment="1">
      <alignment/>
    </xf>
    <xf numFmtId="168" fontId="9" fillId="0" borderId="5" xfId="0" applyNumberFormat="1" applyFont="1" applyBorder="1" applyAlignment="1">
      <alignment/>
    </xf>
    <xf numFmtId="0" fontId="15" fillId="0" borderId="10" xfId="0" applyFont="1" applyBorder="1" applyAlignment="1">
      <alignment horizontal="right"/>
    </xf>
    <xf numFmtId="172" fontId="9" fillId="0" borderId="10" xfId="21" applyNumberFormat="1" applyFont="1" applyBorder="1" applyAlignment="1">
      <alignment/>
    </xf>
    <xf numFmtId="0" fontId="15" fillId="0" borderId="0" xfId="0" applyFont="1" applyBorder="1" applyAlignment="1">
      <alignment horizontal="right"/>
    </xf>
    <xf numFmtId="172" fontId="9" fillId="0" borderId="0" xfId="21" applyNumberFormat="1" applyFont="1" applyBorder="1" applyAlignment="1">
      <alignment/>
    </xf>
    <xf numFmtId="2" fontId="9" fillId="5" borderId="16" xfId="0" applyNumberFormat="1" applyFont="1" applyFill="1" applyBorder="1" applyAlignment="1" applyProtection="1">
      <alignment/>
      <protection locked="0"/>
    </xf>
    <xf numFmtId="0" fontId="6" fillId="2" borderId="1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9" fontId="0" fillId="5" borderId="23" xfId="21" applyFill="1" applyBorder="1" applyAlignment="1" applyProtection="1">
      <alignment/>
      <protection locked="0"/>
    </xf>
    <xf numFmtId="9" fontId="11" fillId="0" borderId="0" xfId="21" applyFont="1" applyAlignment="1">
      <alignment/>
    </xf>
    <xf numFmtId="0" fontId="11" fillId="0" borderId="10" xfId="0" applyFont="1" applyBorder="1" applyAlignment="1">
      <alignment/>
    </xf>
    <xf numFmtId="0" fontId="15" fillId="0" borderId="0" xfId="0" applyFont="1" applyAlignment="1">
      <alignment horizontal="center"/>
    </xf>
    <xf numFmtId="180" fontId="0" fillId="0" borderId="0" xfId="15" applyNumberFormat="1" applyFill="1" applyAlignment="1" applyProtection="1">
      <alignment/>
      <protection/>
    </xf>
    <xf numFmtId="168" fontId="9" fillId="3" borderId="20" xfId="0" applyNumberFormat="1" applyFont="1" applyFill="1" applyBorder="1" applyAlignment="1" applyProtection="1">
      <alignment/>
      <protection locked="0"/>
    </xf>
    <xf numFmtId="168" fontId="9" fillId="3" borderId="23" xfId="0" applyNumberFormat="1" applyFont="1" applyFill="1" applyBorder="1" applyAlignment="1" applyProtection="1">
      <alignment/>
      <protection locked="0"/>
    </xf>
    <xf numFmtId="0" fontId="9" fillId="3" borderId="23" xfId="0" applyFont="1" applyFill="1" applyBorder="1" applyAlignment="1" applyProtection="1">
      <alignment/>
      <protection locked="0"/>
    </xf>
    <xf numFmtId="9" fontId="9" fillId="3" borderId="23" xfId="21" applyFont="1" applyFill="1" applyBorder="1" applyAlignment="1" applyProtection="1">
      <alignment/>
      <protection locked="0"/>
    </xf>
    <xf numFmtId="3" fontId="9" fillId="3" borderId="23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169" fontId="15" fillId="0" borderId="28" xfId="0" applyNumberFormat="1" applyFont="1" applyBorder="1" applyAlignment="1">
      <alignment/>
    </xf>
    <xf numFmtId="180" fontId="9" fillId="3" borderId="23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3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3" fillId="0" borderId="0" xfId="20" applyFont="1" applyFill="1" applyAlignment="1">
      <alignment/>
    </xf>
    <xf numFmtId="0" fontId="0" fillId="0" borderId="16" xfId="0" applyFont="1" applyBorder="1" applyAlignment="1">
      <alignment horizontal="center"/>
    </xf>
    <xf numFmtId="4" fontId="9" fillId="0" borderId="0" xfId="0" applyNumberFormat="1" applyFont="1" applyFill="1" applyAlignment="1">
      <alignment/>
    </xf>
    <xf numFmtId="4" fontId="44" fillId="0" borderId="0" xfId="0" applyNumberFormat="1" applyFont="1" applyFill="1" applyAlignment="1" applyProtection="1">
      <alignment/>
      <protection hidden="1"/>
    </xf>
    <xf numFmtId="0" fontId="0" fillId="0" borderId="17" xfId="0" applyFont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22" fillId="2" borderId="1" xfId="0" applyFont="1" applyFill="1" applyBorder="1" applyAlignment="1" applyProtection="1">
      <alignment horizontal="left"/>
      <protection/>
    </xf>
    <xf numFmtId="0" fontId="17" fillId="2" borderId="4" xfId="0" applyFont="1" applyFill="1" applyBorder="1" applyAlignment="1" applyProtection="1">
      <alignment horizontal="left"/>
      <protection/>
    </xf>
    <xf numFmtId="0" fontId="17" fillId="2" borderId="5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4" fillId="9" borderId="45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/>
      <protection/>
    </xf>
    <xf numFmtId="0" fontId="8" fillId="0" borderId="14" xfId="0" applyFont="1" applyBorder="1" applyAlignment="1" applyProtection="1">
      <alignment horizontal="center"/>
      <protection/>
    </xf>
    <xf numFmtId="3" fontId="0" fillId="9" borderId="45" xfId="0" applyNumberFormat="1" applyFont="1" applyFill="1" applyBorder="1" applyAlignment="1" applyProtection="1">
      <alignment wrapText="1"/>
      <protection/>
    </xf>
    <xf numFmtId="0" fontId="14" fillId="9" borderId="45" xfId="0" applyFont="1" applyFill="1" applyBorder="1" applyAlignment="1" applyProtection="1">
      <alignment wrapText="1"/>
      <protection/>
    </xf>
    <xf numFmtId="0" fontId="0" fillId="9" borderId="45" xfId="0" applyFill="1" applyBorder="1" applyAlignment="1" applyProtection="1">
      <alignment wrapText="1"/>
      <protection/>
    </xf>
    <xf numFmtId="180" fontId="30" fillId="7" borderId="7" xfId="15" applyNumberFormat="1" applyFont="1" applyFill="1" applyBorder="1" applyAlignment="1" applyProtection="1">
      <alignment/>
      <protection/>
    </xf>
    <xf numFmtId="180" fontId="0" fillId="7" borderId="7" xfId="15" applyNumberFormat="1" applyFill="1" applyBorder="1" applyAlignment="1" applyProtection="1">
      <alignment/>
      <protection/>
    </xf>
    <xf numFmtId="0" fontId="0" fillId="7" borderId="7" xfId="0" applyFill="1" applyBorder="1" applyAlignment="1" applyProtection="1">
      <alignment/>
      <protection/>
    </xf>
    <xf numFmtId="0" fontId="0" fillId="7" borderId="8" xfId="0" applyFill="1" applyBorder="1" applyAlignment="1" applyProtection="1">
      <alignment/>
      <protection/>
    </xf>
    <xf numFmtId="3" fontId="0" fillId="9" borderId="46" xfId="0" applyNumberFormat="1" applyFont="1" applyFill="1" applyBorder="1" applyAlignment="1" applyProtection="1">
      <alignment wrapText="1"/>
      <protection/>
    </xf>
    <xf numFmtId="0" fontId="0" fillId="0" borderId="4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0" fontId="0" fillId="0" borderId="0" xfId="15" applyNumberFormat="1" applyFill="1" applyBorder="1" applyAlignment="1" applyProtection="1">
      <alignment horizontal="left" indent="1"/>
      <protection/>
    </xf>
    <xf numFmtId="0" fontId="0" fillId="0" borderId="27" xfId="0" applyBorder="1" applyAlignment="1" applyProtection="1">
      <alignment/>
      <protection/>
    </xf>
    <xf numFmtId="180" fontId="0" fillId="0" borderId="0" xfId="15" applyNumberFormat="1" applyBorder="1" applyAlignment="1" applyProtection="1">
      <alignment horizontal="left" indent="3"/>
      <protection/>
    </xf>
    <xf numFmtId="1" fontId="0" fillId="5" borderId="16" xfId="15" applyNumberFormat="1" applyFill="1" applyBorder="1" applyAlignment="1" applyProtection="1">
      <alignment horizontal="right" indent="1"/>
      <protection locked="0"/>
    </xf>
    <xf numFmtId="180" fontId="0" fillId="0" borderId="0" xfId="15" applyNumberFormat="1" applyBorder="1" applyAlignment="1" applyProtection="1">
      <alignment horizontal="left" indent="1"/>
      <protection/>
    </xf>
    <xf numFmtId="180" fontId="0" fillId="0" borderId="0" xfId="15" applyNumberForma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30" fillId="7" borderId="6" xfId="0" applyFont="1" applyFill="1" applyBorder="1" applyAlignment="1" applyProtection="1">
      <alignment/>
      <protection/>
    </xf>
    <xf numFmtId="180" fontId="0" fillId="0" borderId="0" xfId="15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9" fontId="0" fillId="5" borderId="16" xfId="15" applyNumberFormat="1" applyFill="1" applyBorder="1" applyAlignment="1" applyProtection="1">
      <alignment/>
      <protection locked="0"/>
    </xf>
    <xf numFmtId="180" fontId="0" fillId="0" borderId="0" xfId="15" applyNumberFormat="1" applyFont="1" applyAlignment="1" applyProtection="1">
      <alignment/>
      <protection/>
    </xf>
    <xf numFmtId="180" fontId="0" fillId="5" borderId="16" xfId="15" applyNumberFormat="1" applyFill="1" applyBorder="1" applyAlignment="1" applyProtection="1">
      <alignment/>
      <protection locked="0"/>
    </xf>
    <xf numFmtId="180" fontId="0" fillId="0" borderId="0" xfId="0" applyNumberFormat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24" fontId="0" fillId="0" borderId="0" xfId="0" applyNumberFormat="1" applyAlignment="1" applyProtection="1">
      <alignment/>
      <protection/>
    </xf>
    <xf numFmtId="0" fontId="37" fillId="0" borderId="0" xfId="0" applyFont="1" applyFill="1" applyBorder="1" applyAlignment="1" applyProtection="1">
      <alignment horizontal="center"/>
      <protection/>
    </xf>
    <xf numFmtId="168" fontId="0" fillId="3" borderId="16" xfId="15" applyNumberFormat="1" applyFill="1" applyBorder="1" applyAlignment="1" applyProtection="1">
      <alignment/>
      <protection/>
    </xf>
    <xf numFmtId="168" fontId="0" fillId="0" borderId="0" xfId="15" applyNumberFormat="1" applyAlignment="1" applyProtection="1">
      <alignment/>
      <protection/>
    </xf>
    <xf numFmtId="177" fontId="0" fillId="0" borderId="0" xfId="15" applyNumberFormat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1" fillId="0" borderId="0" xfId="2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8" fillId="0" borderId="0" xfId="0" applyFont="1" applyAlignment="1">
      <alignment horizontal="left"/>
    </xf>
    <xf numFmtId="180" fontId="0" fillId="0" borderId="16" xfId="15" applyNumberFormat="1" applyFill="1" applyBorder="1" applyAlignment="1" applyProtection="1">
      <alignment horizontal="left" indent="1"/>
      <protection/>
    </xf>
    <xf numFmtId="2" fontId="9" fillId="0" borderId="0" xfId="0" applyNumberFormat="1" applyFont="1" applyAlignment="1">
      <alignment/>
    </xf>
    <xf numFmtId="0" fontId="26" fillId="0" borderId="0" xfId="0" applyFont="1" applyAlignment="1">
      <alignment horizontal="right"/>
    </xf>
    <xf numFmtId="2" fontId="26" fillId="0" borderId="0" xfId="0" applyNumberFormat="1" applyFont="1" applyAlignment="1">
      <alignment/>
    </xf>
    <xf numFmtId="43" fontId="26" fillId="0" borderId="0" xfId="15" applyNumberFormat="1" applyFont="1" applyAlignment="1">
      <alignment/>
    </xf>
    <xf numFmtId="168" fontId="26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43" fontId="26" fillId="0" borderId="0" xfId="15" applyFont="1" applyAlignment="1">
      <alignment/>
    </xf>
    <xf numFmtId="9" fontId="26" fillId="0" borderId="0" xfId="21" applyFont="1" applyAlignment="1">
      <alignment/>
    </xf>
    <xf numFmtId="0" fontId="42" fillId="0" borderId="30" xfId="0" applyFont="1" applyFill="1" applyBorder="1" applyAlignment="1">
      <alignment/>
    </xf>
    <xf numFmtId="0" fontId="0" fillId="0" borderId="48" xfId="0" applyFont="1" applyBorder="1" applyAlignment="1">
      <alignment/>
    </xf>
    <xf numFmtId="0" fontId="0" fillId="0" borderId="30" xfId="0" applyFont="1" applyBorder="1" applyAlignment="1">
      <alignment/>
    </xf>
    <xf numFmtId="169" fontId="15" fillId="0" borderId="17" xfId="0" applyNumberFormat="1" applyFont="1" applyBorder="1" applyAlignment="1">
      <alignment/>
    </xf>
    <xf numFmtId="0" fontId="0" fillId="0" borderId="49" xfId="0" applyFont="1" applyFill="1" applyBorder="1" applyAlignment="1">
      <alignment/>
    </xf>
    <xf numFmtId="180" fontId="9" fillId="0" borderId="44" xfId="0" applyNumberFormat="1" applyFont="1" applyFill="1" applyBorder="1" applyAlignment="1">
      <alignment/>
    </xf>
    <xf numFmtId="179" fontId="9" fillId="0" borderId="43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168" fontId="15" fillId="0" borderId="30" xfId="0" applyNumberFormat="1" applyFont="1" applyBorder="1" applyAlignment="1">
      <alignment/>
    </xf>
    <xf numFmtId="0" fontId="9" fillId="0" borderId="14" xfId="0" applyFont="1" applyBorder="1" applyAlignment="1">
      <alignment horizontal="right"/>
    </xf>
    <xf numFmtId="168" fontId="9" fillId="0" borderId="15" xfId="0" applyNumberFormat="1" applyFont="1" applyBorder="1" applyAlignment="1">
      <alignment/>
    </xf>
    <xf numFmtId="0" fontId="15" fillId="0" borderId="2" xfId="0" applyFont="1" applyBorder="1" applyAlignment="1">
      <alignment horizontal="right"/>
    </xf>
    <xf numFmtId="180" fontId="9" fillId="0" borderId="0" xfId="15" applyNumberFormat="1" applyFont="1" applyFill="1" applyBorder="1" applyAlignment="1" applyProtection="1">
      <alignment/>
      <protection/>
    </xf>
    <xf numFmtId="180" fontId="26" fillId="0" borderId="0" xfId="15" applyNumberFormat="1" applyFont="1" applyAlignment="1">
      <alignment/>
    </xf>
    <xf numFmtId="176" fontId="26" fillId="0" borderId="0" xfId="0" applyNumberFormat="1" applyFont="1" applyAlignment="1">
      <alignment/>
    </xf>
    <xf numFmtId="0" fontId="21" fillId="0" borderId="9" xfId="0" applyFont="1" applyBorder="1" applyAlignment="1">
      <alignment/>
    </xf>
    <xf numFmtId="0" fontId="30" fillId="2" borderId="0" xfId="0" applyFont="1" applyFill="1" applyAlignment="1">
      <alignment/>
    </xf>
    <xf numFmtId="6" fontId="0" fillId="0" borderId="0" xfId="0" applyNumberFormat="1" applyBorder="1" applyAlignment="1">
      <alignment/>
    </xf>
    <xf numFmtId="6" fontId="0" fillId="0" borderId="2" xfId="0" applyNumberFormat="1" applyBorder="1" applyAlignment="1">
      <alignment/>
    </xf>
    <xf numFmtId="0" fontId="0" fillId="2" borderId="0" xfId="0" applyFill="1" applyBorder="1" applyAlignment="1">
      <alignment horizontal="center" wrapText="1"/>
    </xf>
    <xf numFmtId="176" fontId="0" fillId="0" borderId="0" xfId="0" applyNumberFormat="1" applyAlignment="1">
      <alignment/>
    </xf>
    <xf numFmtId="0" fontId="14" fillId="4" borderId="34" xfId="0" applyFont="1" applyFill="1" applyBorder="1" applyAlignment="1">
      <alignment horizontal="center" wrapText="1"/>
    </xf>
    <xf numFmtId="0" fontId="14" fillId="4" borderId="34" xfId="0" applyFont="1" applyFill="1" applyBorder="1" applyAlignment="1">
      <alignment wrapText="1"/>
    </xf>
    <xf numFmtId="0" fontId="0" fillId="0" borderId="34" xfId="0" applyBorder="1" applyAlignment="1">
      <alignment horizontal="center" wrapText="1"/>
    </xf>
    <xf numFmtId="0" fontId="0" fillId="0" borderId="34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0" xfId="0" applyFill="1" applyBorder="1" applyAlignment="1">
      <alignment horizontal="right" wrapText="1"/>
    </xf>
    <xf numFmtId="0" fontId="52" fillId="0" borderId="0" xfId="0" applyFont="1" applyAlignment="1">
      <alignment/>
    </xf>
    <xf numFmtId="0" fontId="15" fillId="2" borderId="0" xfId="0" applyFont="1" applyFill="1" applyAlignment="1">
      <alignment/>
    </xf>
    <xf numFmtId="180" fontId="0" fillId="0" borderId="10" xfId="15" applyNumberFormat="1" applyBorder="1" applyAlignment="1">
      <alignment/>
    </xf>
    <xf numFmtId="180" fontId="30" fillId="0" borderId="0" xfId="15" applyNumberFormat="1" applyFont="1" applyAlignment="1">
      <alignment/>
    </xf>
    <xf numFmtId="180" fontId="9" fillId="2" borderId="0" xfId="15" applyNumberFormat="1" applyFont="1" applyFill="1" applyAlignment="1">
      <alignment/>
    </xf>
    <xf numFmtId="0" fontId="9" fillId="2" borderId="0" xfId="0" applyFont="1" applyFill="1" applyAlignment="1">
      <alignment/>
    </xf>
    <xf numFmtId="180" fontId="0" fillId="5" borderId="16" xfId="15" applyNumberFormat="1" applyFill="1" applyBorder="1" applyAlignment="1">
      <alignment/>
    </xf>
    <xf numFmtId="3" fontId="9" fillId="0" borderId="0" xfId="15" applyNumberFormat="1" applyFont="1" applyAlignment="1">
      <alignment/>
    </xf>
    <xf numFmtId="2" fontId="0" fillId="0" borderId="0" xfId="0" applyNumberFormat="1" applyAlignment="1" quotePrefix="1">
      <alignment/>
    </xf>
    <xf numFmtId="0" fontId="0" fillId="5" borderId="16" xfId="0" applyFill="1" applyBorder="1" applyAlignment="1">
      <alignment/>
    </xf>
    <xf numFmtId="168" fontId="0" fillId="5" borderId="16" xfId="0" applyNumberFormat="1" applyFill="1" applyBorder="1" applyAlignment="1">
      <alignment/>
    </xf>
    <xf numFmtId="9" fontId="0" fillId="5" borderId="50" xfId="0" applyNumberFormat="1" applyFill="1" applyBorder="1" applyAlignment="1">
      <alignment/>
    </xf>
    <xf numFmtId="8" fontId="9" fillId="0" borderId="0" xfId="0" applyNumberFormat="1" applyFont="1" applyAlignment="1">
      <alignment/>
    </xf>
    <xf numFmtId="0" fontId="1" fillId="0" borderId="0" xfId="20" applyFill="1" applyBorder="1" applyAlignment="1">
      <alignment/>
    </xf>
    <xf numFmtId="0" fontId="0" fillId="5" borderId="1" xfId="0" applyFill="1" applyBorder="1" applyAlignment="1">
      <alignment/>
    </xf>
    <xf numFmtId="0" fontId="0" fillId="5" borderId="5" xfId="0" applyFill="1" applyBorder="1" applyAlignment="1">
      <alignment/>
    </xf>
    <xf numFmtId="0" fontId="53" fillId="0" borderId="0" xfId="0" applyFont="1" applyAlignment="1">
      <alignment horizontal="right"/>
    </xf>
    <xf numFmtId="0" fontId="54" fillId="0" borderId="0" xfId="0" applyFont="1" applyAlignment="1">
      <alignment/>
    </xf>
    <xf numFmtId="0" fontId="26" fillId="5" borderId="16" xfId="0" applyFont="1" applyFill="1" applyBorder="1" applyAlignment="1">
      <alignment/>
    </xf>
    <xf numFmtId="180" fontId="0" fillId="0" borderId="0" xfId="15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180" fontId="15" fillId="0" borderId="0" xfId="15" applyNumberFormat="1" applyFont="1" applyAlignment="1">
      <alignment/>
    </xf>
    <xf numFmtId="0" fontId="14" fillId="0" borderId="51" xfId="0" applyFont="1" applyBorder="1" applyAlignment="1">
      <alignment horizontal="right"/>
    </xf>
    <xf numFmtId="0" fontId="8" fillId="2" borderId="2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40" fillId="0" borderId="0" xfId="0" applyFont="1" applyAlignment="1">
      <alignment horizontal="left" wrapText="1"/>
    </xf>
    <xf numFmtId="0" fontId="18" fillId="0" borderId="0" xfId="0" applyFon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externalLink" Target="externalLinks/externalLink7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5</xdr:row>
      <xdr:rowOff>19050</xdr:rowOff>
    </xdr:from>
    <xdr:to>
      <xdr:col>7</xdr:col>
      <xdr:colOff>447675</xdr:colOff>
      <xdr:row>24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85850"/>
          <a:ext cx="4133850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2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600075" y="66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2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742950" y="66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7</xdr:row>
      <xdr:rowOff>19050</xdr:rowOff>
    </xdr:from>
    <xdr:to>
      <xdr:col>9</xdr:col>
      <xdr:colOff>85725</xdr:colOff>
      <xdr:row>16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1219200"/>
          <a:ext cx="24098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jects\Rapid%20Transport\Interstate%20Traveler%20Financial%20Calculations%2010-23-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ojects\rapid%20Transport\Interstate%20Traveler%20Financial%20Calculations%2010-23-02%20AnnArbo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ork\Projects\Rapid%20Transport\ITC-PlanteMoran%2011-15-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Shared\JES%20Back%206-05\Rapid%20Transport\Quotes\National%20Quote%20v4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Shared\JES%20Back%206-05\Rapid%20Transport\Energy%20Calculations\ITC%20Energy%20Calculato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ewAdmin\Documents\NewThinkpad-26June2010\NewThinkPad\Calculator\Calculators\33%20kilometers%20-%20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ewAdmin\Documents\NewThinkpad-26June2010\NewThinkPad\Calculator\HyRail-Calc-Detroit-AnnArbor-SixYearProjec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Image01"/>
      <sheetName val="Image02"/>
      <sheetName val="Image03"/>
      <sheetName val="Image04"/>
      <sheetName val="Costs per kilometer"/>
      <sheetName val="SampleCalc"/>
      <sheetName val="Return On Investment"/>
      <sheetName val="DailyMonthlyPass"/>
      <sheetName val="Startup Infrastructure Costs"/>
      <sheetName val="Payroll"/>
      <sheetName val="SolarCells"/>
      <sheetName val="Energy Use Calculator"/>
      <sheetName val="Hyrdrogen Production"/>
      <sheetName val="Steel and Concrete"/>
      <sheetName val="BridgeCluster"/>
      <sheetName val="Insurance"/>
      <sheetName val="TimeLine"/>
      <sheetName val="Rail Cost per K Chart"/>
      <sheetName val="Total Cost Chart"/>
      <sheetName val="Routes"/>
      <sheetName val="Addressing"/>
      <sheetName val="Lease Purchase"/>
      <sheetName val="Townships"/>
      <sheetName val="Michigan Assoc Regions"/>
      <sheetName val="The Names2"/>
      <sheetName val="Palets"/>
      <sheetName val="Telemarketing"/>
      <sheetName val="Time Line"/>
      <sheetName val="Stock Capitalization"/>
      <sheetName val="Advisory Board"/>
    </sheetNames>
    <sheetDataSet>
      <sheetData sheetId="26">
        <row r="6">
          <cell r="F6">
            <v>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Image01"/>
      <sheetName val="Image02"/>
      <sheetName val="Image03"/>
      <sheetName val="Image04"/>
      <sheetName val="Costs per kilometer"/>
      <sheetName val="Return On Investment"/>
      <sheetName val="Townships"/>
      <sheetName val="Costs Ann Arbor Loop"/>
      <sheetName val="Ann Arbor ROI"/>
      <sheetName val="Startup Infrastructure Costs"/>
      <sheetName val="Payroll"/>
      <sheetName val="SolarCells"/>
      <sheetName val="Hyrdrogen Production"/>
      <sheetName val="Steel and Concrete"/>
      <sheetName val="Insurance"/>
      <sheetName val="ProductionTimeLine"/>
      <sheetName val="Rail Cost per K Chart"/>
      <sheetName val="Total Cost Chart"/>
      <sheetName val="Routes"/>
      <sheetName val="Addressing"/>
      <sheetName val="Lease Purchase"/>
      <sheetName val="Michigan Assoc Regions"/>
      <sheetName val="The Names2"/>
      <sheetName val="BridgeCluster"/>
      <sheetName val="Pallets"/>
      <sheetName val="Pallets 2"/>
      <sheetName val="Stock Capitalization"/>
      <sheetName val="Advisory Board"/>
    </sheetNames>
    <sheetDataSet>
      <sheetData sheetId="25">
        <row r="6">
          <cell r="F6">
            <v>48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proforma inc stmt"/>
      <sheetName val="Costs per kilometer"/>
      <sheetName val="Return On Investment"/>
      <sheetName val="Townships"/>
      <sheetName val="Costs Ann Arbor Loop"/>
      <sheetName val="Ann Arbor ROI"/>
      <sheetName val="Startup Infrastructure Costs"/>
      <sheetName val="Payroll"/>
      <sheetName val="SolarCells"/>
      <sheetName val="Hyrdrogen Production"/>
      <sheetName val="Steel and Concrete"/>
      <sheetName val="Insurance"/>
      <sheetName val="ProductionTimeLine"/>
      <sheetName val="Rail Cost per K Chart"/>
      <sheetName val="Total Cost Chart"/>
      <sheetName val="Routes"/>
      <sheetName val="Addressing"/>
      <sheetName val="Lease Purchase"/>
      <sheetName val="Michigan Assoc Regions"/>
      <sheetName val="The Names2"/>
      <sheetName val="BridgeCluster"/>
      <sheetName val="Pallets"/>
      <sheetName val="Pallets 2"/>
      <sheetName val="Stock Capitalization"/>
      <sheetName val="Advisory Board"/>
    </sheetNames>
    <sheetDataSet>
      <sheetData sheetId="2">
        <row r="52">
          <cell r="F52">
            <v>3026000.3554311027</v>
          </cell>
        </row>
      </sheetData>
      <sheetData sheetId="3">
        <row r="16">
          <cell r="C16">
            <v>180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Costs per kilometer"/>
      <sheetName val="Return On Investment"/>
      <sheetName val="BTU"/>
      <sheetName val="SolarCells"/>
      <sheetName val="Sheet1"/>
      <sheetName val="ITC National Network"/>
      <sheetName val="National Population"/>
      <sheetName val="Steel and Concrete"/>
      <sheetName val="Advertising - Rent"/>
      <sheetName val="Water Production"/>
      <sheetName val="Hyrdrogen Production"/>
      <sheetName val="ProductionTimeLin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Costs per kilometer"/>
      <sheetName val="Return On Investment"/>
      <sheetName val="Energy Calculator"/>
      <sheetName val="ProductionTimeLine"/>
      <sheetName val="SolarCells"/>
      <sheetName val="Sheet1"/>
      <sheetName val="ITC National Network"/>
      <sheetName val="National Population"/>
      <sheetName val="Steel and Concrete"/>
      <sheetName val="Advertising - Rent"/>
      <sheetName val="Water Production"/>
      <sheetName val="Hyrdrogen Productio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Summary"/>
      <sheetName val="Costs per kilometer"/>
      <sheetName val="Return On Investment Minutes"/>
      <sheetName val="Energy Calculator Printable"/>
      <sheetName val="Advertising - Rent"/>
      <sheetName val="Water Production"/>
      <sheetName val="SolarCells"/>
      <sheetName val="Hyrdrogen Production"/>
      <sheetName val="SolarCell per Acre"/>
      <sheetName val="Steel and Concrete"/>
      <sheetName val="Org Chart"/>
      <sheetName val="First Year Simplified Budget"/>
      <sheetName val="10 Year Proforma inc stmt"/>
      <sheetName val="Michigan Townships on I-96"/>
      <sheetName val="ITC National Network"/>
      <sheetName val="National Population"/>
      <sheetName val="ProductionTimeLine"/>
      <sheetName val="Routes"/>
      <sheetName val="Addressing"/>
      <sheetName val="Old ROI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Project Summary"/>
      <sheetName val="Installation Costs Calc"/>
      <sheetName val="Carbon Offset"/>
      <sheetName val="Return On Investment"/>
      <sheetName val="Startup - Annual Operationa"/>
      <sheetName val="Employment Projections"/>
      <sheetName val="Water Production"/>
      <sheetName val="SolarCells"/>
      <sheetName val="Hyrdrogen Production"/>
      <sheetName val="SolarCell per Acre"/>
      <sheetName val="Steel and Concrete"/>
      <sheetName val="Advertising - Rent"/>
      <sheetName val="2005-Org Chart"/>
      <sheetName val="Michigan Townships on I-96"/>
      <sheetName val="ITC National Network"/>
      <sheetName val="Population Unite States"/>
      <sheetName val="ProductionTimeLine"/>
      <sheetName val="Smaple Routes"/>
      <sheetName val="Addressing"/>
      <sheetName val="Old ROI(fee per day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erstatetraveler.us/" TargetMode="External" /><Relationship Id="rId2" Type="http://schemas.openxmlformats.org/officeDocument/2006/relationships/hyperlink" Target="mailto:JustinEricSutton@msn.com" TargetMode="External" /><Relationship Id="rId3" Type="http://schemas.openxmlformats.org/officeDocument/2006/relationships/hyperlink" Target="mailto:Justin@InterstateTraveler.us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eere.energy.gov/solar/cfm/faqs/third_level.cfm/name=Photovoltaics/cat=The%20Basics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time.com/time/business/article/0,8599,185650,00.html" TargetMode="Externa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erstatetraveler.us/" TargetMode="Externa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pvsolarmodules.com/kyocera.html" TargetMode="Externa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uartenergy.com/hydrogen/techreview.asp" TargetMode="External" /><Relationship Id="rId2" Type="http://schemas.openxmlformats.org/officeDocument/2006/relationships/hyperlink" Target="http://www.fuelcellstore.com/cgi-bin/fuelweb/view=item/cat=23/subcat=26/product=181" TargetMode="External" /><Relationship Id="rId3" Type="http://schemas.openxmlformats.org/officeDocument/2006/relationships/hyperlink" Target="http://www.stuartenergy.com/technology/tech_platforms.html" TargetMode="External" /><Relationship Id="rId4" Type="http://schemas.openxmlformats.org/officeDocument/2006/relationships/hyperlink" Target="http://www-formal.stanford.edu/jmc/progress/hydrogen.html" TargetMode="External" /><Relationship Id="rId5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46"/>
  <sheetViews>
    <sheetView workbookViewId="0" topLeftCell="A1">
      <selection activeCell="B40" sqref="B40"/>
    </sheetView>
  </sheetViews>
  <sheetFormatPr defaultColWidth="9.140625" defaultRowHeight="12.75"/>
  <cols>
    <col min="2" max="2" width="11.8515625" style="0" bestFit="1" customWidth="1"/>
  </cols>
  <sheetData>
    <row r="5" ht="33">
      <c r="E5" s="2" t="s">
        <v>21</v>
      </c>
    </row>
    <row r="18" ht="12.75">
      <c r="F18" t="s">
        <v>22</v>
      </c>
    </row>
    <row r="28" spans="2:7" ht="20.25">
      <c r="B28" s="3" t="s">
        <v>23</v>
      </c>
      <c r="C28" s="3"/>
      <c r="D28" s="3"/>
      <c r="E28" s="3"/>
      <c r="F28" s="3"/>
      <c r="G28" s="3"/>
    </row>
    <row r="29" ht="12.75">
      <c r="B29" t="s">
        <v>942</v>
      </c>
    </row>
    <row r="32" spans="2:5" ht="12.75">
      <c r="B32" s="4" t="s">
        <v>21</v>
      </c>
      <c r="C32" s="4"/>
      <c r="D32" s="4"/>
      <c r="E32" s="4"/>
    </row>
    <row r="33" spans="2:6" ht="12.75">
      <c r="B33" s="5" t="s">
        <v>191</v>
      </c>
      <c r="C33" s="5"/>
      <c r="D33" s="5"/>
      <c r="E33" s="5"/>
      <c r="F33" s="5"/>
    </row>
    <row r="34" spans="2:3" ht="12.75">
      <c r="B34" s="4" t="s">
        <v>24</v>
      </c>
      <c r="C34" s="4"/>
    </row>
    <row r="35" spans="2:7" ht="12.75">
      <c r="B35" s="4" t="s">
        <v>25</v>
      </c>
      <c r="C35" s="4"/>
      <c r="D35" s="4"/>
      <c r="G35" t="s">
        <v>26</v>
      </c>
    </row>
    <row r="36" spans="2:4" ht="12.75">
      <c r="B36" s="4" t="s">
        <v>27</v>
      </c>
      <c r="C36" s="4"/>
      <c r="D36" s="4"/>
    </row>
    <row r="37" spans="2:4" ht="12.75">
      <c r="B37" s="4" t="s">
        <v>28</v>
      </c>
      <c r="C37" s="4"/>
      <c r="D37" s="4"/>
    </row>
    <row r="38" spans="2:4" ht="12.75">
      <c r="B38" s="5" t="s">
        <v>29</v>
      </c>
      <c r="C38" s="5"/>
      <c r="D38" s="5"/>
    </row>
    <row r="39" ht="12.75">
      <c r="B39" s="445" t="s">
        <v>1039</v>
      </c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4" ht="12.75">
      <c r="B45" s="98"/>
      <c r="C45" s="4"/>
      <c r="D45" s="4"/>
    </row>
    <row r="46" ht="12.75">
      <c r="B46" s="4"/>
    </row>
  </sheetData>
  <sheetProtection/>
  <hyperlinks>
    <hyperlink ref="B33" r:id="rId1" display="www.InterstateTraveler.us "/>
    <hyperlink ref="B38" r:id="rId2" display="mailto:JustinEricSutton@msn.com"/>
    <hyperlink ref="B39" r:id="rId3" display="Justin@InterstateTraveler.us"/>
  </hyperlinks>
  <printOptions/>
  <pageMargins left="0.75" right="0.75" top="1" bottom="1" header="0.5" footer="0.5"/>
  <pageSetup horizontalDpi="600" verticalDpi="600" orientation="portrait" r:id="rId5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2"/>
  <sheetViews>
    <sheetView zoomScale="88" zoomScaleNormal="88" workbookViewId="0" topLeftCell="A4">
      <selection activeCell="C8" sqref="C8"/>
    </sheetView>
  </sheetViews>
  <sheetFormatPr defaultColWidth="9.140625" defaultRowHeight="12.75"/>
  <cols>
    <col min="1" max="1" width="9.140625" style="349" customWidth="1"/>
    <col min="2" max="2" width="27.421875" style="349" customWidth="1"/>
    <col min="3" max="3" width="32.7109375" style="349" bestFit="1" customWidth="1"/>
    <col min="4" max="4" width="14.28125" style="349" bestFit="1" customWidth="1"/>
    <col min="5" max="5" width="17.140625" style="349" customWidth="1"/>
    <col min="6" max="6" width="13.57421875" style="349" bestFit="1" customWidth="1"/>
    <col min="7" max="7" width="33.421875" style="349" customWidth="1"/>
    <col min="8" max="8" width="10.57421875" style="349" customWidth="1"/>
    <col min="9" max="9" width="16.421875" style="349" bestFit="1" customWidth="1"/>
    <col min="10" max="16384" width="9.140625" style="349" customWidth="1"/>
  </cols>
  <sheetData>
    <row r="1" spans="1:5" ht="26.25">
      <c r="A1" s="346" t="s">
        <v>829</v>
      </c>
      <c r="B1" s="347"/>
      <c r="C1" s="347"/>
      <c r="D1" s="347"/>
      <c r="E1" s="348"/>
    </row>
    <row r="2" ht="12.75">
      <c r="B2" s="349" t="s">
        <v>830</v>
      </c>
    </row>
    <row r="3" spans="1:3" ht="13.5" thickBot="1">
      <c r="A3" s="351"/>
      <c r="B3" s="352" t="s">
        <v>834</v>
      </c>
      <c r="C3" s="351"/>
    </row>
    <row r="4" spans="1:5" ht="18" customHeight="1" thickBot="1" thickTop="1">
      <c r="A4" s="356" t="s">
        <v>837</v>
      </c>
      <c r="B4" s="357"/>
      <c r="C4" s="358"/>
      <c r="D4" s="358"/>
      <c r="E4" s="359"/>
    </row>
    <row r="5" spans="1:4" ht="18" customHeight="1">
      <c r="A5" s="361"/>
      <c r="B5" s="362" t="s">
        <v>840</v>
      </c>
      <c r="C5" s="363">
        <v>5280</v>
      </c>
      <c r="D5" s="349" t="s">
        <v>841</v>
      </c>
    </row>
    <row r="6" spans="1:4" ht="18" customHeight="1">
      <c r="A6" s="364"/>
      <c r="B6" s="362" t="s">
        <v>936</v>
      </c>
      <c r="C6" s="363">
        <v>16</v>
      </c>
      <c r="D6" s="349" t="s">
        <v>841</v>
      </c>
    </row>
    <row r="7" spans="1:4" ht="18" customHeight="1">
      <c r="A7" s="364"/>
      <c r="B7" s="362" t="s">
        <v>122</v>
      </c>
      <c r="C7" s="365">
        <f>SUM(C6*C5)</f>
        <v>84480</v>
      </c>
      <c r="D7" s="349" t="s">
        <v>846</v>
      </c>
    </row>
    <row r="8" spans="1:4" ht="18" customHeight="1">
      <c r="A8" s="364"/>
      <c r="B8" s="362" t="s">
        <v>941</v>
      </c>
      <c r="C8" s="366">
        <f>'Installation Checklist'!$A$37</f>
        <v>13</v>
      </c>
      <c r="D8" s="349" t="s">
        <v>849</v>
      </c>
    </row>
    <row r="9" spans="1:4" ht="18" customHeight="1">
      <c r="A9" s="364"/>
      <c r="B9" s="362" t="s">
        <v>124</v>
      </c>
      <c r="C9" s="367">
        <f>SUM(C7*C8)</f>
        <v>1098240</v>
      </c>
      <c r="D9" s="349" t="s">
        <v>852</v>
      </c>
    </row>
    <row r="10" spans="1:4" ht="18" customHeight="1">
      <c r="A10" s="364"/>
      <c r="B10" s="362" t="s">
        <v>855</v>
      </c>
      <c r="C10" s="349">
        <v>6</v>
      </c>
      <c r="D10" s="349" t="s">
        <v>856</v>
      </c>
    </row>
    <row r="11" spans="1:4" ht="18" customHeight="1">
      <c r="A11" s="364"/>
      <c r="B11" s="362" t="s">
        <v>859</v>
      </c>
      <c r="C11" s="367">
        <f>SUM(C10*C9)</f>
        <v>6589440</v>
      </c>
      <c r="D11" s="349" t="s">
        <v>860</v>
      </c>
    </row>
    <row r="12" spans="1:4" ht="18" customHeight="1">
      <c r="A12" s="364"/>
      <c r="B12" s="362" t="s">
        <v>940</v>
      </c>
      <c r="C12" s="391">
        <f>'Installation Checklist'!$A$58</f>
        <v>867.537</v>
      </c>
      <c r="D12" s="349" t="s">
        <v>863</v>
      </c>
    </row>
    <row r="13" spans="1:4" ht="18" customHeight="1">
      <c r="A13" s="364"/>
      <c r="B13" s="362" t="s">
        <v>866</v>
      </c>
      <c r="C13" s="368">
        <f>SUM(C11*C12)</f>
        <v>5716583009.280001</v>
      </c>
      <c r="D13" s="349" t="s">
        <v>866</v>
      </c>
    </row>
    <row r="14" spans="1:4" ht="15.75" customHeight="1" thickBot="1">
      <c r="A14" s="369"/>
      <c r="B14" s="362" t="s">
        <v>626</v>
      </c>
      <c r="C14" s="368">
        <f>SUM(C13*365)</f>
        <v>2086552798387.2002</v>
      </c>
      <c r="D14" s="349" t="s">
        <v>869</v>
      </c>
    </row>
    <row r="15" spans="1:5" ht="18" customHeight="1" thickBot="1">
      <c r="A15" s="370" t="s">
        <v>870</v>
      </c>
      <c r="B15" s="357"/>
      <c r="C15" s="358"/>
      <c r="D15" s="358"/>
      <c r="E15" s="359"/>
    </row>
    <row r="16" spans="1:3" ht="18" customHeight="1">
      <c r="A16" s="364"/>
      <c r="B16" s="349" t="s">
        <v>871</v>
      </c>
      <c r="C16" s="371">
        <f>SUM('Installation Checklist'!A43+'Installation Checklist'!A44)</f>
        <v>33</v>
      </c>
    </row>
    <row r="17" spans="1:4" ht="18" customHeight="1">
      <c r="A17" s="364"/>
      <c r="B17" s="349" t="s">
        <v>872</v>
      </c>
      <c r="C17" s="371">
        <v>8000</v>
      </c>
      <c r="D17" s="349" t="s">
        <v>873</v>
      </c>
    </row>
    <row r="18" spans="1:3" ht="18" customHeight="1">
      <c r="A18" s="364"/>
      <c r="B18" s="349" t="s">
        <v>874</v>
      </c>
      <c r="C18" s="371">
        <v>12</v>
      </c>
    </row>
    <row r="19" spans="1:3" ht="18" customHeight="1">
      <c r="A19" s="364"/>
      <c r="B19" s="349" t="s">
        <v>875</v>
      </c>
      <c r="C19" s="371">
        <f>SUM(C18*C17)</f>
        <v>96000</v>
      </c>
    </row>
    <row r="20" spans="1:3" ht="18" customHeight="1">
      <c r="A20" s="364"/>
      <c r="B20" s="349" t="s">
        <v>876</v>
      </c>
      <c r="C20" s="371">
        <f>SUM(C18*C17*C16)</f>
        <v>3168000</v>
      </c>
    </row>
    <row r="21" spans="1:3" ht="18" customHeight="1">
      <c r="A21" s="364"/>
      <c r="B21" s="349" t="s">
        <v>877</v>
      </c>
      <c r="C21" s="371">
        <f>SUM(C20*C10)</f>
        <v>19008000</v>
      </c>
    </row>
    <row r="22" spans="1:3" ht="13.5" thickBot="1">
      <c r="A22" s="369"/>
      <c r="B22" s="349" t="s">
        <v>878</v>
      </c>
      <c r="C22" s="371">
        <f>SUM(C21*365)</f>
        <v>6937920000</v>
      </c>
    </row>
    <row r="23" spans="1:5" ht="19.5" customHeight="1" thickBot="1">
      <c r="A23" s="370" t="s">
        <v>879</v>
      </c>
      <c r="B23" s="357"/>
      <c r="C23" s="358"/>
      <c r="D23" s="358"/>
      <c r="E23" s="359"/>
    </row>
    <row r="24" spans="1:3" ht="16.5" customHeight="1">
      <c r="A24" s="364"/>
      <c r="B24" s="349" t="s">
        <v>880</v>
      </c>
      <c r="C24" s="371">
        <f>'Installation Checklist'!$A$54</f>
        <v>0</v>
      </c>
    </row>
    <row r="25" spans="1:4" ht="16.5" customHeight="1">
      <c r="A25" s="364"/>
      <c r="B25" s="349" t="s">
        <v>881</v>
      </c>
      <c r="C25" s="371">
        <v>160</v>
      </c>
      <c r="D25" s="349" t="s">
        <v>882</v>
      </c>
    </row>
    <row r="26" spans="1:4" ht="16.5" customHeight="1">
      <c r="A26" s="364"/>
      <c r="B26" s="349" t="s">
        <v>883</v>
      </c>
      <c r="C26" s="371">
        <f>SUM(C25*C24)</f>
        <v>0</v>
      </c>
      <c r="D26" s="349" t="s">
        <v>884</v>
      </c>
    </row>
    <row r="27" spans="1:3" ht="16.5" customHeight="1">
      <c r="A27" s="364"/>
      <c r="B27" s="349" t="s">
        <v>874</v>
      </c>
      <c r="C27" s="371">
        <v>22</v>
      </c>
    </row>
    <row r="28" spans="1:3" ht="16.5" customHeight="1">
      <c r="A28" s="364"/>
      <c r="B28" s="349" t="s">
        <v>885</v>
      </c>
      <c r="C28" s="371">
        <v>8</v>
      </c>
    </row>
    <row r="29" spans="1:3" ht="16.5" customHeight="1">
      <c r="A29" s="364"/>
      <c r="B29" s="349" t="s">
        <v>886</v>
      </c>
      <c r="C29" s="371">
        <f>SUM(C25*C27)</f>
        <v>3520</v>
      </c>
    </row>
    <row r="30" spans="1:3" ht="16.5" customHeight="1">
      <c r="A30" s="364"/>
      <c r="B30" s="349" t="s">
        <v>887</v>
      </c>
      <c r="C30" s="371">
        <f>SUM(C29*C24)</f>
        <v>0</v>
      </c>
    </row>
    <row r="31" spans="1:3" ht="16.5" customHeight="1">
      <c r="A31" s="364"/>
      <c r="B31" s="349" t="s">
        <v>888</v>
      </c>
      <c r="C31" s="371">
        <f>SUM(C30*C28)</f>
        <v>0</v>
      </c>
    </row>
    <row r="32" spans="1:3" ht="13.5" thickBot="1">
      <c r="A32" s="369"/>
      <c r="B32" s="349" t="s">
        <v>889</v>
      </c>
      <c r="C32" s="371">
        <f>SUM(C31*365)</f>
        <v>0</v>
      </c>
    </row>
    <row r="33" spans="1:5" ht="18.75" thickBot="1">
      <c r="A33" s="370"/>
      <c r="B33" s="356" t="s">
        <v>890</v>
      </c>
      <c r="C33" s="358"/>
      <c r="D33" s="358"/>
      <c r="E33" s="359"/>
    </row>
    <row r="34" spans="2:3" ht="12.75">
      <c r="B34" s="349" t="s">
        <v>891</v>
      </c>
      <c r="C34" s="349">
        <v>500</v>
      </c>
    </row>
    <row r="35" spans="2:3" ht="12.75">
      <c r="B35" s="349" t="s">
        <v>892</v>
      </c>
      <c r="C35" s="349">
        <f>SUM(C34*0.5)</f>
        <v>250</v>
      </c>
    </row>
    <row r="36" spans="2:3" ht="12.75">
      <c r="B36" s="349" t="s">
        <v>893</v>
      </c>
      <c r="C36" s="349">
        <f>SUM(C34*C37)</f>
        <v>1571.4285714285713</v>
      </c>
    </row>
    <row r="37" spans="2:3" ht="12.75">
      <c r="B37" s="349" t="s">
        <v>894</v>
      </c>
      <c r="C37" s="349">
        <v>3.142857142857143</v>
      </c>
    </row>
    <row r="38" spans="2:3" ht="12.75">
      <c r="B38" s="349" t="s">
        <v>895</v>
      </c>
      <c r="C38" s="349">
        <v>300</v>
      </c>
    </row>
    <row r="39" spans="2:3" ht="12.75">
      <c r="B39" s="349" t="s">
        <v>896</v>
      </c>
      <c r="C39" s="372">
        <v>0.2035</v>
      </c>
    </row>
    <row r="40" spans="2:3" ht="12.75">
      <c r="B40" s="349" t="s">
        <v>897</v>
      </c>
      <c r="C40" s="371">
        <f>SUM(C36*C39)</f>
        <v>319.7857142857142</v>
      </c>
    </row>
    <row r="41" spans="2:3" ht="12.75">
      <c r="B41" s="349" t="s">
        <v>898</v>
      </c>
      <c r="C41" s="371">
        <v>5280</v>
      </c>
    </row>
    <row r="42" spans="2:3" ht="12.75">
      <c r="B42" s="349" t="s">
        <v>122</v>
      </c>
      <c r="C42" s="371">
        <f>SUM(C41*C40)</f>
        <v>1688468.5714285711</v>
      </c>
    </row>
    <row r="43" spans="2:3" ht="12.75">
      <c r="B43" s="349" t="s">
        <v>899</v>
      </c>
      <c r="C43" s="373">
        <v>0.8</v>
      </c>
    </row>
    <row r="44" spans="2:3" ht="12.75">
      <c r="B44" s="349" t="s">
        <v>900</v>
      </c>
      <c r="C44" s="371">
        <f>SUM(C43*C42)</f>
        <v>1350774.857142857</v>
      </c>
    </row>
    <row r="45" spans="2:3" ht="12.75">
      <c r="B45" s="349" t="s">
        <v>901</v>
      </c>
      <c r="C45" s="374">
        <v>5</v>
      </c>
    </row>
    <row r="46" spans="2:3" ht="12.75">
      <c r="B46" s="349" t="s">
        <v>902</v>
      </c>
      <c r="C46" s="371">
        <f>SUM(C44*C45)</f>
        <v>6753874.285714285</v>
      </c>
    </row>
    <row r="47" spans="2:4" ht="12.75">
      <c r="B47" s="349" t="s">
        <v>885</v>
      </c>
      <c r="C47" s="375">
        <v>6</v>
      </c>
      <c r="D47" s="349" t="s">
        <v>903</v>
      </c>
    </row>
    <row r="48" spans="2:3" ht="12.75">
      <c r="B48" s="349" t="s">
        <v>904</v>
      </c>
      <c r="C48" s="371">
        <f>SUM(C46*C47)</f>
        <v>40523245.71428572</v>
      </c>
    </row>
    <row r="49" spans="2:3" ht="12.75">
      <c r="B49" s="349" t="s">
        <v>905</v>
      </c>
      <c r="C49" s="375">
        <v>0</v>
      </c>
    </row>
    <row r="50" spans="2:3" ht="12.75">
      <c r="B50" s="349" t="s">
        <v>906</v>
      </c>
      <c r="C50" s="371">
        <f>SUM(C48*C49)</f>
        <v>0</v>
      </c>
    </row>
    <row r="51" spans="2:3" ht="12.75">
      <c r="B51" s="349" t="s">
        <v>626</v>
      </c>
      <c r="C51" s="371">
        <f>SUM(C50*365)</f>
        <v>0</v>
      </c>
    </row>
    <row r="52" spans="2:7" ht="12.75">
      <c r="B52" s="349" t="s">
        <v>907</v>
      </c>
      <c r="C52" s="371">
        <f>SUM(C51/1000)</f>
        <v>0</v>
      </c>
      <c r="F52" s="349">
        <f>SUM((39.4*39.4)/144)</f>
        <v>10.780277777777776</v>
      </c>
      <c r="G52" s="349" t="s">
        <v>908</v>
      </c>
    </row>
    <row r="53" spans="2:7" ht="12.75">
      <c r="B53" s="349" t="s">
        <v>909</v>
      </c>
      <c r="C53" s="376">
        <f>SUM(C51/1000000)</f>
        <v>0</v>
      </c>
      <c r="F53" s="349">
        <v>1000</v>
      </c>
      <c r="G53" s="349" t="s">
        <v>910</v>
      </c>
    </row>
    <row r="54" spans="2:7" ht="12.75">
      <c r="B54" s="349" t="s">
        <v>911</v>
      </c>
      <c r="C54" s="376">
        <f>SUM(C51/1000000000)</f>
        <v>0</v>
      </c>
      <c r="F54" s="349">
        <f>SUM(F53/F52)</f>
        <v>92.76198819861374</v>
      </c>
      <c r="G54" s="349" t="s">
        <v>912</v>
      </c>
    </row>
    <row r="55" spans="2:7" ht="12.75">
      <c r="B55" s="349" t="s">
        <v>913</v>
      </c>
      <c r="C55" s="377">
        <f>SUM(C51/1000000000000)</f>
        <v>0</v>
      </c>
      <c r="F55" s="378">
        <v>0.26</v>
      </c>
      <c r="G55" s="349" t="s">
        <v>914</v>
      </c>
    </row>
    <row r="56" spans="2:7" ht="12.75">
      <c r="B56" s="349" t="s">
        <v>915</v>
      </c>
      <c r="C56" s="379">
        <f>SUM(C51)/3.4121415</f>
        <v>0</v>
      </c>
      <c r="F56" s="349">
        <f>SUM(F54*F55)</f>
        <v>24.118116931639573</v>
      </c>
      <c r="G56" s="349" t="s">
        <v>916</v>
      </c>
    </row>
    <row r="57" spans="2:3" ht="13.5" thickBot="1">
      <c r="B57" s="349" t="s">
        <v>917</v>
      </c>
      <c r="C57" s="380">
        <f>SUM(C56/10^15)</f>
        <v>0</v>
      </c>
    </row>
    <row r="58" spans="1:5" ht="24" customHeight="1" thickBot="1">
      <c r="A58" s="370" t="s">
        <v>918</v>
      </c>
      <c r="B58" s="357"/>
      <c r="C58" s="358"/>
      <c r="D58" s="358"/>
      <c r="E58" s="359"/>
    </row>
    <row r="59" spans="1:5" ht="18" customHeight="1">
      <c r="A59" s="361"/>
      <c r="B59" s="349" t="s">
        <v>626</v>
      </c>
      <c r="C59" s="376">
        <f>SUM(C22+C14+C32+C51)</f>
        <v>2093490718387.2002</v>
      </c>
      <c r="D59" s="381"/>
      <c r="E59" s="381"/>
    </row>
    <row r="60" spans="1:3" ht="18" customHeight="1">
      <c r="A60" s="364"/>
      <c r="B60" s="349" t="s">
        <v>907</v>
      </c>
      <c r="C60" s="371">
        <f>SUM(C59/1000)</f>
        <v>2093490718.3872</v>
      </c>
    </row>
    <row r="61" spans="1:3" ht="18" customHeight="1">
      <c r="A61" s="364"/>
      <c r="B61" s="349" t="s">
        <v>909</v>
      </c>
      <c r="C61" s="371">
        <f>SUM(C59/1000000)</f>
        <v>2093490.7183872003</v>
      </c>
    </row>
    <row r="62" spans="1:3" ht="18" customHeight="1">
      <c r="A62" s="364"/>
      <c r="B62" s="349" t="s">
        <v>919</v>
      </c>
      <c r="C62" s="371">
        <f>SUM(C59/1000000000)</f>
        <v>2093.4907183872</v>
      </c>
    </row>
    <row r="63" spans="1:3" ht="18" customHeight="1">
      <c r="A63" s="364"/>
      <c r="B63" s="349" t="s">
        <v>913</v>
      </c>
      <c r="C63" s="371">
        <f>SUM(C59/1000000000000)</f>
        <v>2.0934907183872</v>
      </c>
    </row>
    <row r="64" spans="1:3" ht="18" customHeight="1">
      <c r="A64" s="364"/>
      <c r="B64" s="349" t="s">
        <v>178</v>
      </c>
      <c r="C64" s="382">
        <v>0.1</v>
      </c>
    </row>
    <row r="65" spans="1:3" ht="21" customHeight="1">
      <c r="A65" s="364"/>
      <c r="B65" s="349" t="s">
        <v>920</v>
      </c>
      <c r="C65" s="383">
        <f>SUM(C60*C64)</f>
        <v>209349071.83872002</v>
      </c>
    </row>
    <row r="66" spans="1:3" ht="21" customHeight="1">
      <c r="A66" s="364"/>
      <c r="B66" s="349" t="s">
        <v>921</v>
      </c>
      <c r="C66" s="384">
        <f>SUM(C59*3.4121415)</f>
        <v>7143286560073.779</v>
      </c>
    </row>
    <row r="67" spans="1:4" ht="18" customHeight="1">
      <c r="A67" s="364"/>
      <c r="B67" s="349" t="s">
        <v>922</v>
      </c>
      <c r="C67" s="385">
        <f>SUM(C66/1000000000000000)</f>
        <v>0.0071432865600737794</v>
      </c>
      <c r="D67" s="349" t="s">
        <v>937</v>
      </c>
    </row>
    <row r="68" spans="1:4" ht="23.25" customHeight="1">
      <c r="A68" s="364"/>
      <c r="B68" s="349" t="s">
        <v>923</v>
      </c>
      <c r="C68" s="371">
        <v>4200</v>
      </c>
      <c r="D68" s="349" t="s">
        <v>924</v>
      </c>
    </row>
    <row r="69" spans="1:4" ht="18" customHeight="1">
      <c r="A69" s="364"/>
      <c r="B69" s="349" t="s">
        <v>925</v>
      </c>
      <c r="C69" s="371">
        <f>SUM(C59/C68)</f>
        <v>498450171.04457146</v>
      </c>
      <c r="D69" s="349" t="s">
        <v>926</v>
      </c>
    </row>
    <row r="70" spans="1:4" ht="15.75" customHeight="1">
      <c r="A70" s="364"/>
      <c r="B70" s="349" t="s">
        <v>927</v>
      </c>
      <c r="C70" s="376">
        <f>SUM(C69/10)</f>
        <v>49845017.10445715</v>
      </c>
      <c r="D70" s="349" t="s">
        <v>928</v>
      </c>
    </row>
    <row r="71" spans="1:4" ht="15.75" customHeight="1">
      <c r="A71" s="364"/>
      <c r="B71" s="386" t="s">
        <v>929</v>
      </c>
      <c r="C71" s="385">
        <f>SUM(C70/(80*12))</f>
        <v>51921.89281714286</v>
      </c>
      <c r="D71" s="349" t="s">
        <v>930</v>
      </c>
    </row>
    <row r="72" spans="1:3" ht="15.75" customHeight="1">
      <c r="A72" s="364"/>
      <c r="B72" s="386" t="s">
        <v>931</v>
      </c>
      <c r="C72" s="371">
        <v>500000000</v>
      </c>
    </row>
    <row r="73" spans="1:4" ht="12.75">
      <c r="A73" s="364"/>
      <c r="B73" s="386" t="s">
        <v>932</v>
      </c>
      <c r="C73" s="372">
        <f>SUM(C71/C72)</f>
        <v>0.00010384378563428572</v>
      </c>
      <c r="D73" s="349" t="s">
        <v>933</v>
      </c>
    </row>
    <row r="75" spans="1:2" ht="12.75">
      <c r="A75" s="387" t="s">
        <v>934</v>
      </c>
      <c r="B75" s="388" t="s">
        <v>935</v>
      </c>
    </row>
    <row r="76" spans="1:2" ht="12.75">
      <c r="A76" s="389"/>
      <c r="B76" s="390" t="s">
        <v>938</v>
      </c>
    </row>
    <row r="77" spans="2:6" ht="12.75" customHeight="1">
      <c r="B77" s="457" t="s">
        <v>939</v>
      </c>
      <c r="C77" s="457"/>
      <c r="D77" s="457"/>
      <c r="E77" s="457"/>
      <c r="F77" s="457"/>
    </row>
    <row r="78" spans="2:6" ht="54" customHeight="1">
      <c r="B78" s="457"/>
      <c r="C78" s="457"/>
      <c r="D78" s="457"/>
      <c r="E78" s="457"/>
      <c r="F78" s="457"/>
    </row>
    <row r="80" ht="13.5" thickBot="1"/>
    <row r="81" spans="3:5" ht="13.5" thickBot="1">
      <c r="C81" s="350" t="s">
        <v>831</v>
      </c>
      <c r="D81" s="350" t="s">
        <v>832</v>
      </c>
      <c r="E81" s="350" t="s">
        <v>833</v>
      </c>
    </row>
    <row r="82" spans="3:5" ht="13.5" thickBot="1">
      <c r="C82" s="353">
        <v>1</v>
      </c>
      <c r="D82" s="354" t="s">
        <v>835</v>
      </c>
      <c r="E82" s="355" t="s">
        <v>836</v>
      </c>
    </row>
    <row r="83" spans="3:5" ht="13.5" thickBot="1">
      <c r="C83" s="360">
        <v>10</v>
      </c>
      <c r="D83" s="355" t="s">
        <v>838</v>
      </c>
      <c r="E83" s="355" t="s">
        <v>839</v>
      </c>
    </row>
    <row r="84" spans="3:5" ht="13.5" thickBot="1">
      <c r="C84" s="360">
        <v>100</v>
      </c>
      <c r="D84" s="355" t="s">
        <v>842</v>
      </c>
      <c r="E84" s="355" t="s">
        <v>843</v>
      </c>
    </row>
    <row r="85" spans="3:5" ht="13.5" thickBot="1">
      <c r="C85" s="360">
        <v>1000</v>
      </c>
      <c r="D85" s="355" t="s">
        <v>844</v>
      </c>
      <c r="E85" s="355" t="s">
        <v>845</v>
      </c>
    </row>
    <row r="86" spans="3:5" ht="13.5" thickBot="1">
      <c r="C86" s="360">
        <v>1000000</v>
      </c>
      <c r="D86" s="355" t="s">
        <v>847</v>
      </c>
      <c r="E86" s="355" t="s">
        <v>848</v>
      </c>
    </row>
    <row r="87" spans="3:5" ht="13.5" thickBot="1">
      <c r="C87" s="360">
        <v>1000000000</v>
      </c>
      <c r="D87" s="355" t="s">
        <v>850</v>
      </c>
      <c r="E87" s="355" t="s">
        <v>851</v>
      </c>
    </row>
    <row r="88" spans="3:5" ht="13.5" thickBot="1">
      <c r="C88" s="360">
        <v>1000000000000</v>
      </c>
      <c r="D88" s="355" t="s">
        <v>853</v>
      </c>
      <c r="E88" s="355" t="s">
        <v>854</v>
      </c>
    </row>
    <row r="89" spans="3:5" ht="13.5" thickBot="1">
      <c r="C89" s="360">
        <v>1000000000000000</v>
      </c>
      <c r="D89" s="355" t="s">
        <v>857</v>
      </c>
      <c r="E89" s="355" t="s">
        <v>858</v>
      </c>
    </row>
    <row r="90" spans="3:5" ht="13.5" thickBot="1">
      <c r="C90" s="360">
        <v>1E+18</v>
      </c>
      <c r="D90" s="355" t="s">
        <v>861</v>
      </c>
      <c r="E90" s="355" t="s">
        <v>862</v>
      </c>
    </row>
    <row r="91" spans="3:5" ht="13.5" thickBot="1">
      <c r="C91" s="360">
        <v>1E+21</v>
      </c>
      <c r="D91" s="355" t="s">
        <v>864</v>
      </c>
      <c r="E91" s="355" t="s">
        <v>865</v>
      </c>
    </row>
    <row r="92" spans="3:5" ht="13.5" thickBot="1">
      <c r="C92" s="360">
        <v>1E+24</v>
      </c>
      <c r="D92" s="355" t="s">
        <v>867</v>
      </c>
      <c r="E92" s="355" t="s">
        <v>868</v>
      </c>
    </row>
  </sheetData>
  <sheetProtection/>
  <mergeCells count="1">
    <mergeCell ref="B77:F78"/>
  </mergeCells>
  <hyperlinks>
    <hyperlink ref="B75" r:id="rId1" display="http://www.eere.energy.gov/solar/cfm/faqs/third_level.cfm/name=Photovoltaics/cat=The%20Basics "/>
  </hyperlinks>
  <printOptions/>
  <pageMargins left="0.75" right="0.75" top="1" bottom="1" header="0.5" footer="0.5"/>
  <pageSetup horizontalDpi="600" verticalDpi="600" orientation="portrait" r:id="rId4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C15" sqref="C15"/>
    </sheetView>
  </sheetViews>
  <sheetFormatPr defaultColWidth="9.140625" defaultRowHeight="12.75"/>
  <cols>
    <col min="1" max="1" width="16.57421875" style="0" customWidth="1"/>
    <col min="3" max="3" width="20.7109375" style="0" customWidth="1"/>
  </cols>
  <sheetData>
    <row r="1" ht="16.5" customHeight="1">
      <c r="A1" t="s">
        <v>436</v>
      </c>
    </row>
    <row r="2" spans="1:6" ht="16.5" customHeight="1">
      <c r="A2" s="11" t="s">
        <v>437</v>
      </c>
      <c r="B2" s="11"/>
      <c r="C2" s="11"/>
      <c r="D2" s="11"/>
      <c r="E2" s="11"/>
      <c r="F2" s="11"/>
    </row>
    <row r="3" spans="1:3" ht="12.75">
      <c r="A3" t="s">
        <v>438</v>
      </c>
      <c r="C3">
        <v>15300</v>
      </c>
    </row>
    <row r="4" spans="1:3" ht="12.75">
      <c r="A4" t="s">
        <v>439</v>
      </c>
      <c r="C4" s="171">
        <v>0.8</v>
      </c>
    </row>
    <row r="5" spans="1:4" ht="12.75">
      <c r="A5" t="s">
        <v>440</v>
      </c>
      <c r="C5">
        <f>SUM(C3)</f>
        <v>15300</v>
      </c>
      <c r="D5" t="s">
        <v>441</v>
      </c>
    </row>
    <row r="6" spans="1:3" ht="12.75">
      <c r="A6" t="s">
        <v>442</v>
      </c>
      <c r="C6" s="295">
        <f>SolarCells!$E$17</f>
        <v>1465397120</v>
      </c>
    </row>
    <row r="7" spans="1:4" ht="12.75">
      <c r="A7" t="s">
        <v>443</v>
      </c>
      <c r="C7" s="144">
        <f>SUM(C6/C5)</f>
        <v>95777.58954248366</v>
      </c>
      <c r="D7" t="s">
        <v>444</v>
      </c>
    </row>
    <row r="8" spans="1:3" ht="12.75">
      <c r="A8" t="s">
        <v>445</v>
      </c>
      <c r="C8" s="144">
        <f>SUM(C7*C4)</f>
        <v>76622.07163398694</v>
      </c>
    </row>
    <row r="9" spans="1:3" ht="12.75">
      <c r="A9" t="s">
        <v>446</v>
      </c>
      <c r="C9" s="144">
        <v>9</v>
      </c>
    </row>
    <row r="10" spans="1:3" ht="12.75">
      <c r="A10" t="s">
        <v>447</v>
      </c>
      <c r="C10" s="226">
        <f>SUM(C8*C9)</f>
        <v>689598.6447058824</v>
      </c>
    </row>
    <row r="11" spans="1:3" ht="12.75">
      <c r="A11" t="s">
        <v>448</v>
      </c>
      <c r="C11" s="144">
        <v>7.48</v>
      </c>
    </row>
    <row r="12" spans="1:3" ht="12.75">
      <c r="A12" t="s">
        <v>449</v>
      </c>
      <c r="C12" s="226">
        <f>SUM(C10/C11)</f>
        <v>92192.3321799308</v>
      </c>
    </row>
    <row r="13" spans="1:4" ht="12.75">
      <c r="A13" t="s">
        <v>765</v>
      </c>
      <c r="C13" s="227">
        <f>SUM(C12/'Installation Checklist'!A58)</f>
        <v>106.26904925084555</v>
      </c>
      <c r="D13" s="227"/>
    </row>
    <row r="14" spans="1:3" ht="12.75">
      <c r="A14" t="s">
        <v>766</v>
      </c>
      <c r="C14" s="227">
        <f>SUM(C12*9)</f>
        <v>829730.9896193772</v>
      </c>
    </row>
    <row r="15" ht="12.75">
      <c r="A15" t="s">
        <v>451</v>
      </c>
    </row>
    <row r="18" ht="12.75">
      <c r="A18" t="s">
        <v>614</v>
      </c>
    </row>
    <row r="19" spans="1:6" ht="12.75">
      <c r="A19" s="11" t="s">
        <v>452</v>
      </c>
      <c r="B19" s="11"/>
      <c r="C19" s="11"/>
      <c r="D19" s="11"/>
      <c r="E19" s="11"/>
      <c r="F19" s="11"/>
    </row>
    <row r="20" spans="1:10" ht="12.75">
      <c r="A20" t="s">
        <v>442</v>
      </c>
      <c r="C20" s="295">
        <f>SolarCells!$E$17</f>
        <v>1465397120</v>
      </c>
      <c r="G20">
        <f>SUM(365*24*60)</f>
        <v>525600</v>
      </c>
      <c r="H20" t="s">
        <v>613</v>
      </c>
      <c r="J20">
        <f>SUM(G20/43560)</f>
        <v>12.066115702479339</v>
      </c>
    </row>
    <row r="21" spans="1:7" ht="12.75">
      <c r="A21" t="s">
        <v>453</v>
      </c>
      <c r="C21">
        <v>5000</v>
      </c>
      <c r="G21">
        <f>SUM(365*24*60)</f>
        <v>525600</v>
      </c>
    </row>
    <row r="22" spans="1:4" ht="12.75">
      <c r="A22" t="s">
        <v>454</v>
      </c>
      <c r="C22" s="227">
        <f>SUM(C20/C21)</f>
        <v>293079.424</v>
      </c>
      <c r="D22" t="s">
        <v>455</v>
      </c>
    </row>
    <row r="23" spans="1:4" ht="12.75">
      <c r="A23" t="s">
        <v>456</v>
      </c>
      <c r="C23">
        <v>0.0813</v>
      </c>
      <c r="D23" t="s">
        <v>457</v>
      </c>
    </row>
    <row r="24" spans="3:4" ht="12.75">
      <c r="C24" s="227">
        <f>SUM(C22*C23)</f>
        <v>23827.357171199998</v>
      </c>
      <c r="D24" t="s">
        <v>458</v>
      </c>
    </row>
    <row r="25" spans="1:3" ht="12.75">
      <c r="A25" t="s">
        <v>446</v>
      </c>
      <c r="C25">
        <v>9</v>
      </c>
    </row>
    <row r="26" spans="3:4" ht="12.75">
      <c r="C26" s="227">
        <f>SUM(C24*C25)</f>
        <v>214446.21454079996</v>
      </c>
      <c r="D26" t="s">
        <v>459</v>
      </c>
    </row>
    <row r="27" spans="1:4" ht="12.75">
      <c r="A27" t="s">
        <v>460</v>
      </c>
      <c r="C27">
        <v>3.785</v>
      </c>
      <c r="D27" t="s">
        <v>461</v>
      </c>
    </row>
    <row r="28" spans="3:7" ht="12.75">
      <c r="C28" s="227">
        <f>SUM(C26/C27)</f>
        <v>56656.8598522589</v>
      </c>
      <c r="D28" t="s">
        <v>462</v>
      </c>
      <c r="G28" s="227">
        <f>SUM(C28/60)/8</f>
        <v>118.03512469220604</v>
      </c>
    </row>
    <row r="29" spans="3:4" ht="12.75">
      <c r="C29">
        <v>8</v>
      </c>
      <c r="D29" t="s">
        <v>463</v>
      </c>
    </row>
    <row r="30" spans="3:4" ht="12.75">
      <c r="C30" s="227">
        <f>SUM(C28*C29)</f>
        <v>453254.8788180712</v>
      </c>
      <c r="D30" t="s">
        <v>464</v>
      </c>
    </row>
    <row r="31" spans="3:4" ht="12.75">
      <c r="C31">
        <v>365</v>
      </c>
      <c r="D31" t="s">
        <v>465</v>
      </c>
    </row>
    <row r="32" spans="3:4" ht="12.75">
      <c r="C32" s="227">
        <f>SUM(C30*C31)</f>
        <v>165438030.768596</v>
      </c>
      <c r="D32" t="s">
        <v>466</v>
      </c>
    </row>
    <row r="33" spans="1:4" ht="12.75">
      <c r="A33" t="s">
        <v>450</v>
      </c>
      <c r="C33">
        <v>54000</v>
      </c>
      <c r="D33" t="s">
        <v>467</v>
      </c>
    </row>
    <row r="34" spans="1:3" ht="12.75">
      <c r="A34" t="s">
        <v>468</v>
      </c>
      <c r="C34" s="227">
        <f>SUM(C33/300*C32)</f>
        <v>29778845538.34728</v>
      </c>
    </row>
    <row r="37" ht="12.75">
      <c r="A37" t="s">
        <v>254</v>
      </c>
    </row>
    <row r="39" spans="1:2" ht="12.75">
      <c r="A39" t="s">
        <v>255</v>
      </c>
      <c r="B39" s="132">
        <v>0.112</v>
      </c>
    </row>
    <row r="40" spans="1:2" ht="12.75">
      <c r="A40" t="s">
        <v>256</v>
      </c>
      <c r="B40" s="132">
        <v>0.888</v>
      </c>
    </row>
    <row r="41" ht="12.75">
      <c r="B41" s="132">
        <f>SUM(B39:B40)</f>
        <v>1</v>
      </c>
    </row>
    <row r="43" ht="12.75">
      <c r="A43" t="s">
        <v>259</v>
      </c>
    </row>
    <row r="44" ht="12.75">
      <c r="A44" t="s">
        <v>260</v>
      </c>
    </row>
    <row r="45" ht="12.75">
      <c r="A45" t="s">
        <v>261</v>
      </c>
    </row>
    <row r="46" ht="12.75">
      <c r="A46" t="s">
        <v>262</v>
      </c>
    </row>
    <row r="48" ht="12.75">
      <c r="A48" t="s">
        <v>257</v>
      </c>
    </row>
    <row r="49" ht="12.75">
      <c r="A49" t="s">
        <v>258</v>
      </c>
    </row>
    <row r="52" ht="12.75">
      <c r="A52" s="145" t="s">
        <v>263</v>
      </c>
    </row>
    <row r="53" ht="12.75">
      <c r="A53" s="145" t="s">
        <v>264</v>
      </c>
    </row>
  </sheetData>
  <hyperlinks>
    <hyperlink ref="C6" location="TwinRail_Output" display="TwinRail_Output"/>
    <hyperlink ref="C20" location="TwinRail_Output" display="TwinRail_Output"/>
  </hyperlink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"/>
  <sheetViews>
    <sheetView workbookViewId="0" topLeftCell="G1">
      <selection activeCell="O7" sqref="O7"/>
    </sheetView>
  </sheetViews>
  <sheetFormatPr defaultColWidth="9.140625" defaultRowHeight="12.75"/>
  <cols>
    <col min="2" max="2" width="13.421875" style="0" bestFit="1" customWidth="1"/>
    <col min="3" max="3" width="10.140625" style="0" bestFit="1" customWidth="1"/>
    <col min="4" max="4" width="14.421875" style="0" bestFit="1" customWidth="1"/>
    <col min="5" max="5" width="13.140625" style="0" bestFit="1" customWidth="1"/>
    <col min="6" max="6" width="16.8515625" style="0" bestFit="1" customWidth="1"/>
    <col min="7" max="9" width="16.8515625" style="0" customWidth="1"/>
    <col min="10" max="10" width="15.00390625" style="0" bestFit="1" customWidth="1"/>
    <col min="11" max="11" width="15.00390625" style="0" customWidth="1"/>
    <col min="12" max="12" width="20.28125" style="0" bestFit="1" customWidth="1"/>
    <col min="14" max="14" width="12.7109375" style="0" bestFit="1" customWidth="1"/>
    <col min="15" max="15" width="14.140625" style="0" bestFit="1" customWidth="1"/>
  </cols>
  <sheetData>
    <row r="2" ht="33">
      <c r="A2" s="1" t="s">
        <v>190</v>
      </c>
    </row>
    <row r="5" ht="12.75">
      <c r="A5" t="s">
        <v>189</v>
      </c>
    </row>
    <row r="6" spans="1:15" ht="12.75">
      <c r="A6" s="11" t="s">
        <v>117</v>
      </c>
      <c r="B6" s="11" t="s">
        <v>57</v>
      </c>
      <c r="C6" s="11" t="s">
        <v>165</v>
      </c>
      <c r="D6" s="11" t="s">
        <v>164</v>
      </c>
      <c r="E6" s="11" t="s">
        <v>163</v>
      </c>
      <c r="F6" s="11" t="s">
        <v>208</v>
      </c>
      <c r="G6" s="11" t="s">
        <v>210</v>
      </c>
      <c r="H6" s="11" t="s">
        <v>612</v>
      </c>
      <c r="I6" s="11" t="s">
        <v>211</v>
      </c>
      <c r="J6" s="11" t="s">
        <v>166</v>
      </c>
      <c r="K6" s="11" t="s">
        <v>698</v>
      </c>
      <c r="L6" s="11" t="s">
        <v>167</v>
      </c>
      <c r="M6" s="11" t="s">
        <v>168</v>
      </c>
      <c r="N6" s="11" t="s">
        <v>169</v>
      </c>
      <c r="O6" s="11" t="s">
        <v>170</v>
      </c>
    </row>
    <row r="7" spans="1:15" ht="12.75">
      <c r="A7" s="108">
        <v>200</v>
      </c>
      <c r="B7" t="s">
        <v>162</v>
      </c>
      <c r="C7" s="108">
        <v>6</v>
      </c>
      <c r="D7">
        <f>SUM(C7*A7)*4</f>
        <v>4800</v>
      </c>
      <c r="E7">
        <f>SUM(D7*12)</f>
        <v>57600</v>
      </c>
      <c r="F7" s="109">
        <v>66</v>
      </c>
      <c r="G7" s="109">
        <f>SUM(F7*A7*C7)</f>
        <v>79200</v>
      </c>
      <c r="H7" s="109">
        <f>SUM(G7/5280)</f>
        <v>15</v>
      </c>
      <c r="I7" s="109">
        <f>SUM(G7/3270)</f>
        <v>24.220183486238533</v>
      </c>
      <c r="J7">
        <f>SUM(F7*E7)</f>
        <v>3801600</v>
      </c>
      <c r="K7">
        <f>SUM(J7/5280)</f>
        <v>720</v>
      </c>
      <c r="L7">
        <f>SUM(J7/3270)</f>
        <v>1162.5688073394494</v>
      </c>
      <c r="M7">
        <f>'Installation Checklist'!$A$57</f>
        <v>1397</v>
      </c>
      <c r="N7">
        <f>SUM(M7/L7)</f>
        <v>1.2016493055555557</v>
      </c>
      <c r="O7">
        <f>SUM(N7*12)</f>
        <v>14.419791666666669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57" r:id="rId1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  <ignoredErrors>
    <ignoredError sqref="J7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2:K42"/>
  <sheetViews>
    <sheetView workbookViewId="0" topLeftCell="A9">
      <selection activeCell="A18" sqref="A18:D18"/>
    </sheetView>
  </sheetViews>
  <sheetFormatPr defaultColWidth="9.140625" defaultRowHeight="12.75"/>
  <cols>
    <col min="1" max="1" width="18.57421875" style="0" bestFit="1" customWidth="1"/>
    <col min="2" max="2" width="15.8515625" style="0" customWidth="1"/>
    <col min="3" max="3" width="18.7109375" style="0" bestFit="1" customWidth="1"/>
    <col min="4" max="4" width="24.7109375" style="0" customWidth="1"/>
    <col min="5" max="5" width="11.57421875" style="0" customWidth="1"/>
    <col min="6" max="6" width="25.140625" style="0" customWidth="1"/>
    <col min="7" max="7" width="14.8515625" style="0" customWidth="1"/>
    <col min="8" max="8" width="14.28125" style="0" bestFit="1" customWidth="1"/>
    <col min="9" max="9" width="14.8515625" style="0" bestFit="1" customWidth="1"/>
    <col min="10" max="10" width="20.00390625" style="0" customWidth="1"/>
    <col min="11" max="11" width="19.8515625" style="0" bestFit="1" customWidth="1"/>
  </cols>
  <sheetData>
    <row r="2" ht="27">
      <c r="A2" s="255" t="s">
        <v>616</v>
      </c>
    </row>
    <row r="4" ht="15">
      <c r="A4" s="19" t="s">
        <v>617</v>
      </c>
    </row>
    <row r="5" ht="12.75">
      <c r="C5" t="s">
        <v>618</v>
      </c>
    </row>
    <row r="6" spans="1:11" ht="12.75">
      <c r="A6" s="11" t="s">
        <v>619</v>
      </c>
      <c r="B6" s="11" t="s">
        <v>620</v>
      </c>
      <c r="C6" s="256" t="s">
        <v>621</v>
      </c>
      <c r="D6" s="11" t="s">
        <v>622</v>
      </c>
      <c r="E6" s="11" t="s">
        <v>623</v>
      </c>
      <c r="F6" s="11" t="s">
        <v>235</v>
      </c>
      <c r="G6" s="11" t="s">
        <v>624</v>
      </c>
      <c r="H6" s="11" t="s">
        <v>625</v>
      </c>
      <c r="I6" s="11" t="s">
        <v>626</v>
      </c>
      <c r="J6" s="11" t="s">
        <v>627</v>
      </c>
      <c r="K6" s="11" t="s">
        <v>628</v>
      </c>
    </row>
    <row r="7" spans="1:11" ht="12.75">
      <c r="A7" s="71">
        <v>150000</v>
      </c>
      <c r="B7">
        <v>8</v>
      </c>
      <c r="C7" s="257">
        <v>0.012</v>
      </c>
      <c r="D7" s="258">
        <f>SUM(C7/A7)</f>
        <v>8E-08</v>
      </c>
      <c r="E7">
        <f>SUM(C7*43560)</f>
        <v>522.72</v>
      </c>
      <c r="F7">
        <f>SUM(E7*B7)</f>
        <v>4181.76</v>
      </c>
      <c r="G7" s="257">
        <v>10</v>
      </c>
      <c r="H7">
        <f>SUM(G7*F7)</f>
        <v>41817.600000000006</v>
      </c>
      <c r="I7">
        <f>SUM(H7*365)</f>
        <v>15263424.000000002</v>
      </c>
      <c r="J7" s="259">
        <v>15000000</v>
      </c>
      <c r="K7" s="260">
        <f>SUM(I7/J7)</f>
        <v>1.0175616</v>
      </c>
    </row>
    <row r="13" ht="12.75">
      <c r="A13" t="s">
        <v>614</v>
      </c>
    </row>
    <row r="14" spans="1:6" ht="12.75">
      <c r="A14" s="11" t="s">
        <v>452</v>
      </c>
      <c r="B14" s="11"/>
      <c r="C14" s="11"/>
      <c r="D14" s="11"/>
      <c r="E14" s="11"/>
      <c r="F14" s="11"/>
    </row>
    <row r="15" spans="1:4" ht="12.75">
      <c r="A15" t="s">
        <v>442</v>
      </c>
      <c r="C15" s="261">
        <f>SUM(F7)</f>
        <v>4181.76</v>
      </c>
      <c r="D15" t="s">
        <v>235</v>
      </c>
    </row>
    <row r="16" spans="1:3" ht="12.75">
      <c r="A16" t="s">
        <v>453</v>
      </c>
      <c r="C16">
        <v>4200</v>
      </c>
    </row>
    <row r="17" spans="1:4" ht="12.75">
      <c r="A17" t="s">
        <v>454</v>
      </c>
      <c r="C17" s="227">
        <f>SUM(C15/C16)</f>
        <v>0.9956571428571429</v>
      </c>
      <c r="D17" t="s">
        <v>455</v>
      </c>
    </row>
    <row r="18" spans="1:4" ht="12.75">
      <c r="A18" t="s">
        <v>456</v>
      </c>
      <c r="C18">
        <v>0.0813</v>
      </c>
      <c r="D18" t="s">
        <v>457</v>
      </c>
    </row>
    <row r="19" spans="3:4" ht="12.75">
      <c r="C19" s="227">
        <f>SUM(C17*C18)</f>
        <v>0.08094692571428572</v>
      </c>
      <c r="D19" t="s">
        <v>458</v>
      </c>
    </row>
    <row r="20" spans="1:3" ht="12.75">
      <c r="A20" t="s">
        <v>446</v>
      </c>
      <c r="C20">
        <v>9</v>
      </c>
    </row>
    <row r="21" spans="3:4" ht="12.75">
      <c r="C21" s="227">
        <f>SUM(C19*C20)</f>
        <v>0.7285223314285715</v>
      </c>
      <c r="D21" t="s">
        <v>459</v>
      </c>
    </row>
    <row r="22" spans="1:4" ht="12.75">
      <c r="A22" t="s">
        <v>460</v>
      </c>
      <c r="C22">
        <v>3.785</v>
      </c>
      <c r="D22" t="s">
        <v>461</v>
      </c>
    </row>
    <row r="23" spans="3:7" ht="12.75">
      <c r="C23" s="262">
        <f>SUM(C21/C22)</f>
        <v>0.19247617739196074</v>
      </c>
      <c r="D23" s="25" t="s">
        <v>462</v>
      </c>
      <c r="G23" s="227"/>
    </row>
    <row r="24" spans="3:7" ht="12.75">
      <c r="C24" s="262">
        <f>SUM(C23/60)</f>
        <v>0.0032079362898660125</v>
      </c>
      <c r="D24" s="25" t="s">
        <v>629</v>
      </c>
      <c r="G24" s="227"/>
    </row>
    <row r="25" spans="3:4" ht="12.75">
      <c r="C25">
        <v>10</v>
      </c>
      <c r="D25" t="s">
        <v>463</v>
      </c>
    </row>
    <row r="26" spans="3:4" ht="12.75">
      <c r="C26" s="262">
        <f>SUM(C23*C25)</f>
        <v>1.9247617739196075</v>
      </c>
      <c r="D26" s="25" t="s">
        <v>464</v>
      </c>
    </row>
    <row r="27" spans="3:4" ht="12.75">
      <c r="C27">
        <v>365</v>
      </c>
      <c r="D27" t="s">
        <v>465</v>
      </c>
    </row>
    <row r="28" spans="3:4" ht="12.75">
      <c r="C28" s="262">
        <f>SUM(C26*C27)</f>
        <v>702.5380474806567</v>
      </c>
      <c r="D28" s="25" t="s">
        <v>466</v>
      </c>
    </row>
    <row r="30" ht="12.75">
      <c r="A30" t="s">
        <v>254</v>
      </c>
    </row>
    <row r="32" spans="1:2" ht="12.75">
      <c r="A32" t="s">
        <v>255</v>
      </c>
      <c r="B32" s="263">
        <v>0.112</v>
      </c>
    </row>
    <row r="33" spans="1:2" ht="12.75">
      <c r="A33" t="s">
        <v>256</v>
      </c>
      <c r="B33" s="263">
        <v>0.888</v>
      </c>
    </row>
    <row r="34" ht="12.75">
      <c r="B34" s="263">
        <f>SUM(B32:B33)</f>
        <v>1</v>
      </c>
    </row>
    <row r="36" ht="12.75">
      <c r="A36" t="s">
        <v>259</v>
      </c>
    </row>
    <row r="37" ht="12.75">
      <c r="A37" t="s">
        <v>260</v>
      </c>
    </row>
    <row r="38" ht="12.75">
      <c r="A38" t="s">
        <v>261</v>
      </c>
    </row>
    <row r="39" ht="12.75">
      <c r="A39" t="s">
        <v>262</v>
      </c>
    </row>
    <row r="41" ht="12.75">
      <c r="A41" t="s">
        <v>257</v>
      </c>
    </row>
    <row r="42" ht="12.75">
      <c r="A42" t="s">
        <v>258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workbookViewId="0" topLeftCell="A1">
      <selection activeCell="K34" sqref="K34"/>
    </sheetView>
  </sheetViews>
  <sheetFormatPr defaultColWidth="9.140625" defaultRowHeight="12.75"/>
  <cols>
    <col min="1" max="1" width="12.28125" style="0" customWidth="1"/>
    <col min="2" max="2" width="15.00390625" style="0" bestFit="1" customWidth="1"/>
    <col min="3" max="3" width="41.140625" style="0" customWidth="1"/>
    <col min="4" max="4" width="14.00390625" style="0" customWidth="1"/>
    <col min="5" max="5" width="15.421875" style="0" customWidth="1"/>
    <col min="6" max="6" width="27.57421875" style="0" customWidth="1"/>
    <col min="7" max="7" width="13.57421875" style="0" customWidth="1"/>
    <col min="8" max="8" width="15.421875" style="0" customWidth="1"/>
    <col min="10" max="10" width="15.00390625" style="0" bestFit="1" customWidth="1"/>
    <col min="11" max="11" width="18.7109375" style="0" bestFit="1" customWidth="1"/>
  </cols>
  <sheetData>
    <row r="1" spans="1:3" ht="25.5">
      <c r="A1" s="29" t="s">
        <v>171</v>
      </c>
      <c r="B1" s="29"/>
      <c r="C1" s="29"/>
    </row>
    <row r="2" spans="3:5" ht="18.75" customHeight="1">
      <c r="C2" s="41" t="s">
        <v>145</v>
      </c>
      <c r="D2" s="29"/>
      <c r="E2" s="29"/>
    </row>
    <row r="3" spans="3:4" ht="12.75">
      <c r="C3" s="30" t="s">
        <v>49</v>
      </c>
      <c r="D3" s="30" t="s">
        <v>50</v>
      </c>
    </row>
    <row r="4" spans="3:4" ht="12.75">
      <c r="C4" t="s">
        <v>51</v>
      </c>
      <c r="D4">
        <v>5280</v>
      </c>
    </row>
    <row r="5" spans="3:5" ht="12.75">
      <c r="C5" t="s">
        <v>52</v>
      </c>
      <c r="D5">
        <v>3278</v>
      </c>
      <c r="E5" t="s">
        <v>53</v>
      </c>
    </row>
    <row r="6" spans="3:4" ht="12.75">
      <c r="C6" t="s">
        <v>54</v>
      </c>
      <c r="D6" s="31">
        <f>SUM(D5/D4)</f>
        <v>0.6208333333333333</v>
      </c>
    </row>
    <row r="9" spans="2:3" ht="16.5" customHeight="1" thickBot="1">
      <c r="B9" s="29"/>
      <c r="C9" s="29"/>
    </row>
    <row r="10" spans="1:6" ht="13.5" thickBot="1">
      <c r="A10" s="32" t="s">
        <v>55</v>
      </c>
      <c r="B10" s="33" t="s">
        <v>56</v>
      </c>
      <c r="C10" s="33" t="s">
        <v>57</v>
      </c>
      <c r="D10" s="33" t="s">
        <v>58</v>
      </c>
      <c r="E10" s="33" t="s">
        <v>59</v>
      </c>
      <c r="F10" s="34" t="s">
        <v>60</v>
      </c>
    </row>
    <row r="11" spans="1:6" ht="12.75">
      <c r="A11">
        <v>3278</v>
      </c>
      <c r="B11" s="12" t="s">
        <v>61</v>
      </c>
      <c r="C11" t="s">
        <v>148</v>
      </c>
      <c r="D11" s="27">
        <v>26.9</v>
      </c>
      <c r="E11" s="27">
        <f>SUM(D11*A11)</f>
        <v>88178.2</v>
      </c>
      <c r="F11" t="s">
        <v>62</v>
      </c>
    </row>
    <row r="12" spans="1:6" ht="12.75">
      <c r="A12">
        <v>4</v>
      </c>
      <c r="B12" s="12" t="s">
        <v>147</v>
      </c>
      <c r="C12" t="s">
        <v>209</v>
      </c>
      <c r="D12" s="27">
        <f>SUM(E11)</f>
        <v>88178.2</v>
      </c>
      <c r="E12" s="27">
        <f>SUM(D12*A12)</f>
        <v>352712.8</v>
      </c>
      <c r="F12" t="s">
        <v>63</v>
      </c>
    </row>
    <row r="13" spans="1:6" ht="12.75">
      <c r="A13" s="81">
        <f>SUM(A11*4)</f>
        <v>13112</v>
      </c>
      <c r="B13" s="103" t="s">
        <v>61</v>
      </c>
      <c r="C13" s="81" t="s">
        <v>536</v>
      </c>
      <c r="D13" s="104">
        <v>60</v>
      </c>
      <c r="E13" s="104">
        <f>SUM(D13*A13)</f>
        <v>786720</v>
      </c>
      <c r="F13" s="81" t="s">
        <v>378</v>
      </c>
    </row>
    <row r="14" spans="1:6" ht="13.5" thickBot="1">
      <c r="A14" s="35">
        <f>SUM(D23*2)</f>
        <v>109.26666666666667</v>
      </c>
      <c r="B14" s="36" t="s">
        <v>64</v>
      </c>
      <c r="C14" s="35" t="s">
        <v>193</v>
      </c>
      <c r="D14" s="37">
        <v>1800</v>
      </c>
      <c r="E14" s="37">
        <f>SUM(D14*A14)</f>
        <v>196680</v>
      </c>
      <c r="F14" s="35" t="s">
        <v>379</v>
      </c>
    </row>
    <row r="15" spans="4:6" ht="12.75">
      <c r="D15" s="27"/>
      <c r="E15" s="27">
        <f>SUM(E12:E14)</f>
        <v>1336112.8</v>
      </c>
      <c r="F15" t="s">
        <v>65</v>
      </c>
    </row>
    <row r="16" ht="12.75">
      <c r="A16" s="15" t="s">
        <v>146</v>
      </c>
    </row>
    <row r="17" ht="13.5" thickBot="1"/>
    <row r="18" spans="3:4" ht="13.5" thickBot="1">
      <c r="C18" s="33" t="s">
        <v>375</v>
      </c>
      <c r="D18" s="33"/>
    </row>
    <row r="19" spans="3:4" ht="12.75">
      <c r="C19" t="s">
        <v>376</v>
      </c>
      <c r="D19" s="140">
        <v>60</v>
      </c>
    </row>
    <row r="20" spans="3:4" ht="12.75">
      <c r="C20" t="s">
        <v>149</v>
      </c>
      <c r="D20" s="27">
        <f>SUM(E15/D5)</f>
        <v>407.6</v>
      </c>
    </row>
    <row r="21" spans="3:4" ht="12.75">
      <c r="C21" t="s">
        <v>377</v>
      </c>
      <c r="D21" s="27">
        <f>SUM(D20*D19)</f>
        <v>24456</v>
      </c>
    </row>
    <row r="22" ht="13.5" thickBot="1">
      <c r="E22" s="81"/>
    </row>
    <row r="23" spans="3:5" ht="13.5" thickBot="1">
      <c r="C23" s="33" t="s">
        <v>155</v>
      </c>
      <c r="D23" s="129">
        <f>SUM(D5/D19)</f>
        <v>54.63333333333333</v>
      </c>
      <c r="E23" s="81"/>
    </row>
    <row r="24" spans="3:5" ht="12.75">
      <c r="C24" t="s">
        <v>156</v>
      </c>
      <c r="E24" s="81"/>
    </row>
    <row r="25" ht="12.75">
      <c r="C25" t="s">
        <v>157</v>
      </c>
    </row>
    <row r="26" spans="3:4" ht="12.75">
      <c r="C26" t="s">
        <v>186</v>
      </c>
      <c r="D26" s="141">
        <v>80</v>
      </c>
    </row>
    <row r="27" spans="3:4" ht="12.75">
      <c r="C27" t="s">
        <v>380</v>
      </c>
      <c r="D27" s="140">
        <v>4</v>
      </c>
    </row>
    <row r="28" spans="3:4" ht="12.75">
      <c r="C28" t="s">
        <v>187</v>
      </c>
      <c r="D28" s="79">
        <f>SUM(D26*D27)</f>
        <v>320</v>
      </c>
    </row>
    <row r="29" spans="3:4" ht="12.75">
      <c r="C29" t="s">
        <v>158</v>
      </c>
      <c r="D29" s="63">
        <f>SUM(D28*D23)</f>
        <v>17482.666666666668</v>
      </c>
    </row>
    <row r="30" spans="3:4" ht="12.75">
      <c r="C30" t="s">
        <v>188</v>
      </c>
      <c r="D30" s="27">
        <f>SUM(D26*(3278/3))</f>
        <v>87413.33333333334</v>
      </c>
    </row>
    <row r="31" spans="3:4" ht="12.75">
      <c r="C31" t="s">
        <v>185</v>
      </c>
      <c r="D31" s="27">
        <f>SUM(D26*(5280/3))</f>
        <v>140800</v>
      </c>
    </row>
    <row r="32" ht="13.5" thickBot="1"/>
    <row r="33" spans="3:11" ht="13.5" thickBot="1">
      <c r="C33" s="33" t="s">
        <v>601</v>
      </c>
      <c r="D33" s="33" t="s">
        <v>602</v>
      </c>
      <c r="E33" s="33" t="s">
        <v>603</v>
      </c>
      <c r="F33" s="33" t="s">
        <v>604</v>
      </c>
      <c r="G33" s="33" t="s">
        <v>605</v>
      </c>
      <c r="H33" s="33" t="s">
        <v>606</v>
      </c>
      <c r="I33" s="143" t="s">
        <v>266</v>
      </c>
      <c r="J33" s="143" t="s">
        <v>607</v>
      </c>
      <c r="K33" s="143" t="s">
        <v>608</v>
      </c>
    </row>
    <row r="34" spans="3:11" ht="12.75">
      <c r="C34" s="141">
        <v>1200</v>
      </c>
      <c r="D34">
        <v>30</v>
      </c>
      <c r="E34" s="250">
        <f>SUM(5280/60*D34)</f>
        <v>2640</v>
      </c>
      <c r="F34" s="79">
        <f>SUM(D34*C34)</f>
        <v>36000</v>
      </c>
      <c r="G34" s="79">
        <f>SUM(5280/60*F34)</f>
        <v>3168000</v>
      </c>
      <c r="H34" s="79">
        <f>SUM(3278/60*F34)</f>
        <v>1966800</v>
      </c>
      <c r="I34">
        <f>'Installation Checklist'!$A$58</f>
        <v>867.537</v>
      </c>
      <c r="J34" s="226">
        <f>SUM(I34*E34)</f>
        <v>2290297.68</v>
      </c>
      <c r="K34" s="254">
        <f>SUM(J34*C34)</f>
        <v>2748357216</v>
      </c>
    </row>
    <row r="35" spans="3:11" ht="12.75">
      <c r="C35" s="141">
        <v>1000</v>
      </c>
      <c r="D35">
        <v>30</v>
      </c>
      <c r="E35" s="250">
        <f>SUM(5280/60*D35)</f>
        <v>2640</v>
      </c>
      <c r="F35" s="79">
        <f>SUM(D35*C35)</f>
        <v>30000</v>
      </c>
      <c r="G35" s="79">
        <f>SUM(5280/60*F35)</f>
        <v>2640000</v>
      </c>
      <c r="H35" s="79">
        <f>SUM(3278/60*F35)</f>
        <v>1639000</v>
      </c>
      <c r="I35">
        <f>'Installation Checklist'!$A$58</f>
        <v>867.537</v>
      </c>
      <c r="J35" s="226">
        <f>SUM(I35*E35)</f>
        <v>2290297.68</v>
      </c>
      <c r="K35" s="254">
        <f>SUM(J35*C35)</f>
        <v>2290297680</v>
      </c>
    </row>
    <row r="36" spans="3:11" ht="12.75">
      <c r="C36" s="141">
        <v>800</v>
      </c>
      <c r="D36">
        <v>30</v>
      </c>
      <c r="E36" s="250">
        <f>SUM(5280/60*D36)</f>
        <v>2640</v>
      </c>
      <c r="F36" s="79">
        <f>SUM(D36*C36)</f>
        <v>24000</v>
      </c>
      <c r="G36" s="79">
        <f>SUM(5280/60*F36)</f>
        <v>2112000</v>
      </c>
      <c r="H36" s="79">
        <f>SUM(3278/60*F36)</f>
        <v>1311200</v>
      </c>
      <c r="I36">
        <f>'Installation Checklist'!$A$58</f>
        <v>867.537</v>
      </c>
      <c r="J36" s="226">
        <f>SUM(I36*E36)</f>
        <v>2290297.68</v>
      </c>
      <c r="K36" s="254">
        <f>SUM(J36*C36)</f>
        <v>1832238144.0000002</v>
      </c>
    </row>
    <row r="40" spans="2:3" ht="12.75">
      <c r="B40" t="s">
        <v>745</v>
      </c>
      <c r="C40" t="s">
        <v>746</v>
      </c>
    </row>
    <row r="41" spans="3:5" ht="93" customHeight="1">
      <c r="C41" s="458" t="s">
        <v>744</v>
      </c>
      <c r="D41" s="458"/>
      <c r="E41" s="458"/>
    </row>
  </sheetData>
  <sheetProtection/>
  <mergeCells count="1">
    <mergeCell ref="C41:E41"/>
  </mergeCells>
  <hyperlinks>
    <hyperlink ref="A16" r:id="rId1" display="http://www.time.com/time/business/article/0,8599,185650,00.html "/>
  </hyperlinks>
  <printOptions/>
  <pageMargins left="0.75" right="0.75" top="1" bottom="1" header="0.5" footer="0.5"/>
  <pageSetup fitToHeight="1" fitToWidth="1" horizontalDpi="600" verticalDpi="600" orientation="landscape" scale="62" r:id="rId2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  <ignoredErrors>
    <ignoredError sqref="F34:F3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workbookViewId="0" topLeftCell="A1">
      <selection activeCell="E73" sqref="E73"/>
    </sheetView>
  </sheetViews>
  <sheetFormatPr defaultColWidth="9.140625" defaultRowHeight="12.75"/>
  <cols>
    <col min="3" max="3" width="27.421875" style="0" customWidth="1"/>
    <col min="4" max="4" width="16.8515625" style="0" customWidth="1"/>
    <col min="5" max="5" width="13.421875" style="0" customWidth="1"/>
  </cols>
  <sheetData>
    <row r="1" ht="18">
      <c r="A1" s="265" t="s">
        <v>616</v>
      </c>
    </row>
    <row r="2" ht="18">
      <c r="A2" s="265" t="s">
        <v>630</v>
      </c>
    </row>
    <row r="3" ht="12.75">
      <c r="A3" s="15" t="s">
        <v>631</v>
      </c>
    </row>
    <row r="4" ht="18">
      <c r="A4" s="209" t="s">
        <v>632</v>
      </c>
    </row>
    <row r="5" ht="15">
      <c r="A5" s="266" t="s">
        <v>633</v>
      </c>
    </row>
    <row r="6" spans="1:6" ht="12.75">
      <c r="A6" s="52" t="s">
        <v>634</v>
      </c>
      <c r="B6" s="52" t="s">
        <v>57</v>
      </c>
      <c r="C6" s="52"/>
      <c r="D6" s="52" t="s">
        <v>635</v>
      </c>
      <c r="E6" s="52" t="s">
        <v>636</v>
      </c>
      <c r="F6" s="52"/>
    </row>
    <row r="7" spans="1:5" ht="12.75">
      <c r="A7">
        <v>1</v>
      </c>
      <c r="B7" t="s">
        <v>637</v>
      </c>
      <c r="D7" s="27">
        <v>12000</v>
      </c>
      <c r="E7" s="27">
        <f aca="true" t="shared" si="0" ref="E7:E16">SUM(D7*12)*A7</f>
        <v>144000</v>
      </c>
    </row>
    <row r="8" spans="1:5" ht="12.75">
      <c r="A8">
        <v>1</v>
      </c>
      <c r="B8" t="s">
        <v>794</v>
      </c>
      <c r="D8" s="27">
        <v>12000</v>
      </c>
      <c r="E8" s="27">
        <f t="shared" si="0"/>
        <v>144000</v>
      </c>
    </row>
    <row r="9" spans="1:5" ht="12.75">
      <c r="A9">
        <v>1</v>
      </c>
      <c r="B9" t="s">
        <v>638</v>
      </c>
      <c r="D9" s="27">
        <v>12000</v>
      </c>
      <c r="E9" s="27">
        <f t="shared" si="0"/>
        <v>144000</v>
      </c>
    </row>
    <row r="10" spans="1:5" ht="12.75">
      <c r="A10">
        <v>1</v>
      </c>
      <c r="B10" t="s">
        <v>639</v>
      </c>
      <c r="D10" s="27">
        <v>12000</v>
      </c>
      <c r="E10" s="27">
        <f t="shared" si="0"/>
        <v>144000</v>
      </c>
    </row>
    <row r="11" spans="1:5" ht="12.75">
      <c r="A11">
        <v>1</v>
      </c>
      <c r="B11" t="s">
        <v>640</v>
      </c>
      <c r="D11" s="27">
        <v>12000</v>
      </c>
      <c r="E11" s="27">
        <f t="shared" si="0"/>
        <v>144000</v>
      </c>
    </row>
    <row r="12" spans="1:5" ht="12.75">
      <c r="A12">
        <v>1</v>
      </c>
      <c r="B12" t="s">
        <v>641</v>
      </c>
      <c r="D12" s="27">
        <v>12000</v>
      </c>
      <c r="E12" s="27">
        <f t="shared" si="0"/>
        <v>144000</v>
      </c>
    </row>
    <row r="13" spans="1:5" ht="12.75">
      <c r="A13" s="81">
        <v>1</v>
      </c>
      <c r="B13" s="81" t="s">
        <v>642</v>
      </c>
      <c r="C13" s="81"/>
      <c r="D13" s="104">
        <v>8000</v>
      </c>
      <c r="E13" s="27">
        <f t="shared" si="0"/>
        <v>96000</v>
      </c>
    </row>
    <row r="14" spans="1:5" ht="12.75">
      <c r="A14">
        <v>12</v>
      </c>
      <c r="B14" t="s">
        <v>643</v>
      </c>
      <c r="D14" s="27">
        <v>4000</v>
      </c>
      <c r="E14" s="27">
        <f t="shared" si="0"/>
        <v>576000</v>
      </c>
    </row>
    <row r="15" spans="1:5" ht="12.75">
      <c r="A15">
        <v>1</v>
      </c>
      <c r="B15" t="s">
        <v>644</v>
      </c>
      <c r="D15" s="27">
        <v>8000</v>
      </c>
      <c r="E15" s="27">
        <f t="shared" si="0"/>
        <v>96000</v>
      </c>
    </row>
    <row r="16" spans="1:5" ht="13.5" thickBot="1">
      <c r="A16" s="35">
        <v>1</v>
      </c>
      <c r="B16" s="175" t="s">
        <v>645</v>
      </c>
      <c r="C16" s="35"/>
      <c r="D16" s="37">
        <v>10000</v>
      </c>
      <c r="E16" s="37">
        <f t="shared" si="0"/>
        <v>120000</v>
      </c>
    </row>
    <row r="17" spans="1:5" ht="12.75">
      <c r="A17">
        <f>SUM(A7:A16)</f>
        <v>21</v>
      </c>
      <c r="D17" s="51" t="s">
        <v>646</v>
      </c>
      <c r="E17" s="27">
        <f>SUM(E7:E16)</f>
        <v>1752000</v>
      </c>
    </row>
    <row r="18" spans="1:5" ht="14.25" customHeight="1">
      <c r="A18">
        <v>1</v>
      </c>
      <c r="C18" s="51" t="s">
        <v>647</v>
      </c>
      <c r="D18" s="51"/>
      <c r="E18" s="27">
        <v>96000</v>
      </c>
    </row>
    <row r="19" spans="1:5" ht="14.25" customHeight="1">
      <c r="A19">
        <v>1</v>
      </c>
      <c r="C19" s="51" t="s">
        <v>648</v>
      </c>
      <c r="D19">
        <v>0.0765</v>
      </c>
      <c r="E19" s="27">
        <f>SUM(E17*D19)</f>
        <v>134028</v>
      </c>
    </row>
    <row r="20" spans="3:5" ht="14.25" customHeight="1">
      <c r="C20" s="51" t="s">
        <v>649</v>
      </c>
      <c r="D20" s="171">
        <v>0.01</v>
      </c>
      <c r="E20" s="27">
        <f>SUM(D20*E17)</f>
        <v>17520</v>
      </c>
    </row>
    <row r="21" spans="3:5" ht="14.25" customHeight="1">
      <c r="C21" s="51"/>
      <c r="D21" s="171" t="s">
        <v>650</v>
      </c>
      <c r="E21" s="27">
        <f>SUM(E17:E20)</f>
        <v>1999548</v>
      </c>
    </row>
    <row r="22" spans="3:5" ht="14.25" customHeight="1">
      <c r="C22" s="51"/>
      <c r="D22" s="171"/>
      <c r="E22" s="27"/>
    </row>
    <row r="23" spans="1:5" ht="14.25" customHeight="1">
      <c r="A23" s="266" t="s">
        <v>651</v>
      </c>
      <c r="C23" s="51"/>
      <c r="D23" s="171"/>
      <c r="E23" s="27"/>
    </row>
    <row r="24" spans="1:5" ht="14.25" customHeight="1">
      <c r="A24" s="52" t="s">
        <v>117</v>
      </c>
      <c r="B24" s="52" t="s">
        <v>57</v>
      </c>
      <c r="C24" s="52"/>
      <c r="D24" s="52" t="s">
        <v>59</v>
      </c>
      <c r="E24" s="52" t="s">
        <v>652</v>
      </c>
    </row>
    <row r="25" spans="1:5" ht="14.25" customHeight="1">
      <c r="A25">
        <v>8</v>
      </c>
      <c r="B25" t="s">
        <v>653</v>
      </c>
      <c r="C25" s="51"/>
      <c r="D25" s="27">
        <v>3000</v>
      </c>
      <c r="E25" s="27">
        <f>SUM(D25*A25)</f>
        <v>24000</v>
      </c>
    </row>
    <row r="26" spans="1:5" ht="14.25" customHeight="1">
      <c r="A26">
        <v>21</v>
      </c>
      <c r="B26" t="s">
        <v>795</v>
      </c>
      <c r="C26" s="51"/>
      <c r="D26" s="27">
        <v>500</v>
      </c>
      <c r="E26" s="27">
        <f>SUM(D26*A26)</f>
        <v>10500</v>
      </c>
    </row>
    <row r="27" spans="1:5" ht="14.25" customHeight="1" thickBot="1">
      <c r="A27" s="35">
        <v>8</v>
      </c>
      <c r="B27" s="35" t="s">
        <v>654</v>
      </c>
      <c r="C27" s="64"/>
      <c r="D27" s="37">
        <v>200</v>
      </c>
      <c r="E27" s="37">
        <f>SUM(D27*A27)</f>
        <v>1600</v>
      </c>
    </row>
    <row r="28" spans="3:5" ht="14.25" customHeight="1">
      <c r="C28" s="51"/>
      <c r="D28" s="27" t="s">
        <v>652</v>
      </c>
      <c r="E28" s="27">
        <f>SUM(E25:E27)</f>
        <v>36100</v>
      </c>
    </row>
    <row r="29" spans="3:5" ht="14.25" customHeight="1">
      <c r="C29" s="51"/>
      <c r="D29" s="27"/>
      <c r="E29" s="27"/>
    </row>
    <row r="30" ht="14.25" customHeight="1">
      <c r="A30" s="266" t="s">
        <v>655</v>
      </c>
    </row>
    <row r="31" spans="1:5" ht="12.75">
      <c r="A31" s="52" t="s">
        <v>656</v>
      </c>
      <c r="B31" s="52" t="s">
        <v>57</v>
      </c>
      <c r="C31" s="52"/>
      <c r="D31" s="52" t="s">
        <v>59</v>
      </c>
      <c r="E31" s="52" t="s">
        <v>657</v>
      </c>
    </row>
    <row r="32" spans="1:5" ht="12.75">
      <c r="A32">
        <v>12</v>
      </c>
      <c r="B32" t="s">
        <v>658</v>
      </c>
      <c r="D32" s="104">
        <v>2000</v>
      </c>
      <c r="E32" s="104">
        <f aca="true" t="shared" si="1" ref="E32:E46">SUM(D32*A32)</f>
        <v>24000</v>
      </c>
    </row>
    <row r="33" spans="1:5" ht="12.75">
      <c r="A33">
        <v>12</v>
      </c>
      <c r="B33" t="s">
        <v>659</v>
      </c>
      <c r="D33" s="104">
        <v>800</v>
      </c>
      <c r="E33" s="104">
        <f t="shared" si="1"/>
        <v>9600</v>
      </c>
    </row>
    <row r="34" spans="1:5" ht="12.75">
      <c r="A34">
        <v>12</v>
      </c>
      <c r="B34" t="s">
        <v>660</v>
      </c>
      <c r="D34" s="104">
        <v>500</v>
      </c>
      <c r="E34" s="104">
        <f t="shared" si="1"/>
        <v>6000</v>
      </c>
    </row>
    <row r="35" spans="1:5" ht="12.75">
      <c r="A35">
        <v>12</v>
      </c>
      <c r="B35" t="s">
        <v>661</v>
      </c>
      <c r="D35" s="104">
        <v>3000</v>
      </c>
      <c r="E35" s="104">
        <f t="shared" si="1"/>
        <v>36000</v>
      </c>
    </row>
    <row r="36" spans="1:5" ht="12.75">
      <c r="A36">
        <v>12</v>
      </c>
      <c r="B36" t="s">
        <v>662</v>
      </c>
      <c r="D36" s="104">
        <v>800</v>
      </c>
      <c r="E36" s="104">
        <f t="shared" si="1"/>
        <v>9600</v>
      </c>
    </row>
    <row r="37" spans="1:5" ht="12.75">
      <c r="A37">
        <v>12</v>
      </c>
      <c r="B37" t="s">
        <v>663</v>
      </c>
      <c r="D37" s="104">
        <v>500</v>
      </c>
      <c r="E37" s="104">
        <f t="shared" si="1"/>
        <v>6000</v>
      </c>
    </row>
    <row r="38" spans="1:5" ht="12.75">
      <c r="A38">
        <v>12</v>
      </c>
      <c r="B38" t="s">
        <v>664</v>
      </c>
      <c r="D38" s="267">
        <v>500</v>
      </c>
      <c r="E38" s="267">
        <f t="shared" si="1"/>
        <v>6000</v>
      </c>
    </row>
    <row r="39" spans="1:5" ht="12.75">
      <c r="A39">
        <v>12</v>
      </c>
      <c r="B39" t="s">
        <v>665</v>
      </c>
      <c r="D39" s="104">
        <v>2400</v>
      </c>
      <c r="E39" s="104">
        <f t="shared" si="1"/>
        <v>28800</v>
      </c>
    </row>
    <row r="40" spans="1:5" ht="12.75">
      <c r="A40">
        <v>12</v>
      </c>
      <c r="B40" t="s">
        <v>666</v>
      </c>
      <c r="D40" s="104">
        <v>330</v>
      </c>
      <c r="E40" s="104">
        <f t="shared" si="1"/>
        <v>3960</v>
      </c>
    </row>
    <row r="41" spans="1:5" ht="12.75">
      <c r="A41">
        <v>12</v>
      </c>
      <c r="B41" t="s">
        <v>667</v>
      </c>
      <c r="D41" s="104">
        <v>3000</v>
      </c>
      <c r="E41" s="104">
        <f t="shared" si="1"/>
        <v>36000</v>
      </c>
    </row>
    <row r="42" spans="1:5" ht="12.75">
      <c r="A42">
        <v>12</v>
      </c>
      <c r="B42" t="s">
        <v>668</v>
      </c>
      <c r="D42" s="104">
        <v>800</v>
      </c>
      <c r="E42" s="104">
        <f t="shared" si="1"/>
        <v>9600</v>
      </c>
    </row>
    <row r="43" spans="1:5" ht="12.75">
      <c r="A43">
        <v>12</v>
      </c>
      <c r="B43" t="s">
        <v>669</v>
      </c>
      <c r="D43" s="104">
        <v>100</v>
      </c>
      <c r="E43" s="104">
        <f t="shared" si="1"/>
        <v>1200</v>
      </c>
    </row>
    <row r="44" spans="1:5" ht="12.75">
      <c r="A44">
        <v>12</v>
      </c>
      <c r="B44" t="s">
        <v>670</v>
      </c>
      <c r="D44" s="104">
        <v>2000</v>
      </c>
      <c r="E44" s="104">
        <f t="shared" si="1"/>
        <v>24000</v>
      </c>
    </row>
    <row r="45" spans="1:5" ht="12.75">
      <c r="A45">
        <v>12</v>
      </c>
      <c r="B45" t="s">
        <v>671</v>
      </c>
      <c r="D45" s="104">
        <v>2000</v>
      </c>
      <c r="E45" s="104">
        <f t="shared" si="1"/>
        <v>24000</v>
      </c>
    </row>
    <row r="46" spans="1:5" ht="12.75">
      <c r="A46" s="18">
        <v>12</v>
      </c>
      <c r="B46" s="18" t="s">
        <v>672</v>
      </c>
      <c r="C46" s="18"/>
      <c r="D46" s="17">
        <v>2000</v>
      </c>
      <c r="E46" s="17">
        <f t="shared" si="1"/>
        <v>24000</v>
      </c>
    </row>
    <row r="47" spans="4:5" ht="12.75">
      <c r="D47" s="104" t="s">
        <v>652</v>
      </c>
      <c r="E47" s="104">
        <f>SUM(E32:E46)</f>
        <v>248760</v>
      </c>
    </row>
    <row r="48" spans="4:5" ht="12.75">
      <c r="D48" s="104"/>
      <c r="E48" s="104"/>
    </row>
    <row r="49" spans="1:6" ht="12.75">
      <c r="A49" t="s">
        <v>673</v>
      </c>
      <c r="D49" s="104"/>
      <c r="E49" s="104"/>
      <c r="F49" s="63"/>
    </row>
    <row r="50" spans="1:5" ht="12.75">
      <c r="A50" s="268" t="s">
        <v>56</v>
      </c>
      <c r="B50" s="268" t="s">
        <v>57</v>
      </c>
      <c r="C50" s="268"/>
      <c r="D50" s="269" t="s">
        <v>59</v>
      </c>
      <c r="E50" s="269" t="s">
        <v>652</v>
      </c>
    </row>
    <row r="51" spans="1:5" ht="12.75">
      <c r="A51">
        <v>32</v>
      </c>
      <c r="B51" t="s">
        <v>674</v>
      </c>
      <c r="D51" s="104">
        <v>500</v>
      </c>
      <c r="E51" s="104">
        <f>SUM(D51*A51)</f>
        <v>16000</v>
      </c>
    </row>
    <row r="52" spans="1:5" ht="12.75">
      <c r="A52">
        <v>12</v>
      </c>
      <c r="B52" t="s">
        <v>675</v>
      </c>
      <c r="D52" s="104">
        <v>48000</v>
      </c>
      <c r="E52" s="104">
        <f>SUM(D52*A52)</f>
        <v>576000</v>
      </c>
    </row>
    <row r="53" spans="1:5" ht="12.75">
      <c r="A53">
        <v>1</v>
      </c>
      <c r="B53" t="s">
        <v>676</v>
      </c>
      <c r="D53" s="104">
        <v>100000</v>
      </c>
      <c r="E53" s="104">
        <f>SUM(D53*A53)</f>
        <v>100000</v>
      </c>
    </row>
    <row r="54" spans="1:5" ht="12.75">
      <c r="A54">
        <v>21</v>
      </c>
      <c r="B54" t="s">
        <v>677</v>
      </c>
      <c r="D54" s="104">
        <v>1000</v>
      </c>
      <c r="E54" s="104">
        <f>SUM(D54*A54)</f>
        <v>21000</v>
      </c>
    </row>
    <row r="55" spans="1:5" ht="12.75">
      <c r="A55">
        <v>1</v>
      </c>
      <c r="B55" t="s">
        <v>678</v>
      </c>
      <c r="D55" s="104">
        <v>70000</v>
      </c>
      <c r="E55" s="104">
        <f>SUM(D55*A55)</f>
        <v>70000</v>
      </c>
    </row>
    <row r="56" spans="1:5" ht="12.75">
      <c r="A56">
        <v>1</v>
      </c>
      <c r="B56" t="s">
        <v>679</v>
      </c>
      <c r="D56" s="27">
        <v>8000</v>
      </c>
      <c r="E56" s="27">
        <f>SUM(D56*12)*A56</f>
        <v>96000</v>
      </c>
    </row>
    <row r="57" spans="1:5" ht="12.75">
      <c r="A57">
        <v>1</v>
      </c>
      <c r="B57" t="s">
        <v>680</v>
      </c>
      <c r="D57" s="104">
        <v>70000</v>
      </c>
      <c r="E57" s="104">
        <f aca="true" t="shared" si="2" ref="E57:E65">SUM(D57*A57)</f>
        <v>70000</v>
      </c>
    </row>
    <row r="58" spans="1:5" ht="12.75">
      <c r="A58" s="81">
        <v>1</v>
      </c>
      <c r="B58" s="81" t="s">
        <v>681</v>
      </c>
      <c r="C58" s="81"/>
      <c r="D58" s="104">
        <v>70000</v>
      </c>
      <c r="E58" s="104">
        <f t="shared" si="2"/>
        <v>70000</v>
      </c>
    </row>
    <row r="59" spans="1:5" ht="12.75">
      <c r="A59" s="178">
        <v>1</v>
      </c>
      <c r="B59" s="178" t="s">
        <v>682</v>
      </c>
      <c r="D59" s="104">
        <v>250000</v>
      </c>
      <c r="E59" s="104">
        <f t="shared" si="2"/>
        <v>250000</v>
      </c>
    </row>
    <row r="60" spans="1:5" ht="12.75">
      <c r="A60" s="178">
        <v>1</v>
      </c>
      <c r="B60" s="178" t="s">
        <v>683</v>
      </c>
      <c r="C60" s="81"/>
      <c r="D60" s="104">
        <v>1000000</v>
      </c>
      <c r="E60" s="104">
        <f t="shared" si="2"/>
        <v>1000000</v>
      </c>
    </row>
    <row r="61" spans="1:5" ht="12.75">
      <c r="A61" s="178">
        <v>1</v>
      </c>
      <c r="B61" s="178" t="s">
        <v>684</v>
      </c>
      <c r="C61" s="81"/>
      <c r="D61" s="104">
        <v>1000000</v>
      </c>
      <c r="E61" s="104">
        <f t="shared" si="2"/>
        <v>1000000</v>
      </c>
    </row>
    <row r="62" spans="1:5" ht="12.75">
      <c r="A62" s="178">
        <v>1</v>
      </c>
      <c r="B62" s="178" t="s">
        <v>685</v>
      </c>
      <c r="C62" s="81"/>
      <c r="D62" s="104">
        <v>1000000</v>
      </c>
      <c r="E62" s="104">
        <f t="shared" si="2"/>
        <v>1000000</v>
      </c>
    </row>
    <row r="63" spans="1:5" ht="12.75">
      <c r="A63" s="178">
        <v>1</v>
      </c>
      <c r="B63" s="178" t="s">
        <v>686</v>
      </c>
      <c r="C63" s="81"/>
      <c r="D63" s="104">
        <v>3000000</v>
      </c>
      <c r="E63" s="104">
        <f t="shared" si="2"/>
        <v>3000000</v>
      </c>
    </row>
    <row r="64" spans="1:5" ht="12.75">
      <c r="A64" s="178">
        <v>2</v>
      </c>
      <c r="B64" s="178" t="s">
        <v>687</v>
      </c>
      <c r="C64" s="81"/>
      <c r="D64" s="104">
        <v>250000</v>
      </c>
      <c r="E64" s="104">
        <f t="shared" si="2"/>
        <v>500000</v>
      </c>
    </row>
    <row r="65" spans="1:5" ht="13.5" thickBot="1">
      <c r="A65" s="35">
        <v>2</v>
      </c>
      <c r="B65" s="35" t="s">
        <v>688</v>
      </c>
      <c r="C65" s="35"/>
      <c r="D65" s="37">
        <v>100000</v>
      </c>
      <c r="E65" s="37">
        <f t="shared" si="2"/>
        <v>200000</v>
      </c>
    </row>
    <row r="66" spans="4:5" ht="12.75">
      <c r="D66" s="51" t="s">
        <v>689</v>
      </c>
      <c r="E66" s="27">
        <f>SUM(E51:E65)</f>
        <v>7969000</v>
      </c>
    </row>
    <row r="67" spans="4:5" ht="12.75">
      <c r="D67" s="51"/>
      <c r="E67" s="27"/>
    </row>
    <row r="68" spans="4:6" ht="12.75">
      <c r="D68" s="51"/>
      <c r="E68" s="27"/>
      <c r="F68" s="30" t="s">
        <v>690</v>
      </c>
    </row>
    <row r="69" spans="4:6" ht="12.75" customHeight="1">
      <c r="D69" s="51" t="s">
        <v>691</v>
      </c>
      <c r="E69" s="27">
        <f>$E$21</f>
        <v>1999548</v>
      </c>
      <c r="F69" s="263">
        <f>SUM(E69/$E$73)</f>
        <v>0.19501301420951941</v>
      </c>
    </row>
    <row r="70" spans="4:6" ht="12.75" customHeight="1">
      <c r="D70" s="51" t="s">
        <v>692</v>
      </c>
      <c r="E70" s="27">
        <f>$E$28</f>
        <v>36100</v>
      </c>
      <c r="F70" s="263">
        <f>SUM(E70/$E$73)</f>
        <v>0.0035207806028980802</v>
      </c>
    </row>
    <row r="71" spans="4:6" ht="12.75">
      <c r="D71" s="51" t="s">
        <v>693</v>
      </c>
      <c r="E71" s="27">
        <f>$E$47</f>
        <v>248760</v>
      </c>
      <c r="F71" s="263">
        <f>SUM(E71/$E$73)</f>
        <v>0.02426120173897303</v>
      </c>
    </row>
    <row r="72" spans="3:6" ht="13.5" thickBot="1">
      <c r="C72" s="39"/>
      <c r="D72" s="270" t="s">
        <v>694</v>
      </c>
      <c r="E72" s="40">
        <f>$E$66</f>
        <v>7969000</v>
      </c>
      <c r="F72" s="271">
        <f>SUM(E72/$E$73)</f>
        <v>0.7772050034486094</v>
      </c>
    </row>
    <row r="73" spans="4:6" ht="13.5" thickTop="1">
      <c r="D73" s="51" t="s">
        <v>695</v>
      </c>
      <c r="E73" s="27">
        <f>SUM(E69:E72)</f>
        <v>10253408</v>
      </c>
      <c r="F73" s="263">
        <f>SUM(F69:F72)</f>
        <v>1</v>
      </c>
    </row>
    <row r="75" spans="4:5" ht="12.75">
      <c r="D75" s="51" t="s">
        <v>796</v>
      </c>
      <c r="E75" s="27">
        <f>SUM(E73/12)</f>
        <v>854450.6666666666</v>
      </c>
    </row>
    <row r="76" spans="4:5" ht="12.75">
      <c r="D76" s="51"/>
      <c r="E76" s="27"/>
    </row>
    <row r="78" ht="12.75">
      <c r="E78" s="27"/>
    </row>
  </sheetData>
  <hyperlinks>
    <hyperlink ref="A3" r:id="rId1" display="www.InterstateTraveler.us"/>
  </hyperlinks>
  <printOptions/>
  <pageMargins left="0.75" right="0.75" top="1" bottom="1" header="0.5" footer="0.5"/>
  <pageSetup fitToHeight="1" fitToWidth="1" horizontalDpi="600" verticalDpi="600" orientation="portrait" scale="68" r:id="rId2"/>
  <headerFooter alignWithMargins="0">
    <oddHeader>&amp;L&amp;"Arial,Bold"The Interstate Traveler Company, LLC&amp;C&amp;D&amp;RPage &amp;P</oddHeader>
    <oddFooter>&amp;LITC, LLC  Confidential, Privileged Business Information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workbookViewId="0" topLeftCell="A1">
      <selection activeCell="D61" sqref="D61"/>
    </sheetView>
  </sheetViews>
  <sheetFormatPr defaultColWidth="9.140625" defaultRowHeight="12.75"/>
  <cols>
    <col min="2" max="2" width="6.7109375" style="0" customWidth="1"/>
    <col min="3" max="3" width="14.8515625" style="0" customWidth="1"/>
    <col min="4" max="7" width="17.7109375" style="0" customWidth="1"/>
    <col min="8" max="8" width="18.140625" style="0" customWidth="1"/>
    <col min="9" max="9" width="16.8515625" style="0" customWidth="1"/>
    <col min="10" max="11" width="23.57421875" style="0" customWidth="1"/>
    <col min="12" max="12" width="23.00390625" style="0" customWidth="1"/>
    <col min="13" max="14" width="23.57421875" style="0" customWidth="1"/>
    <col min="15" max="15" width="24.28125" style="0" customWidth="1"/>
    <col min="16" max="16" width="22.8515625" style="0" bestFit="1" customWidth="1"/>
    <col min="17" max="17" width="27.8515625" style="0" customWidth="1"/>
    <col min="18" max="18" width="26.57421875" style="0" customWidth="1"/>
    <col min="19" max="19" width="25.421875" style="0" customWidth="1"/>
    <col min="20" max="20" width="30.7109375" style="0" customWidth="1"/>
    <col min="21" max="21" width="26.00390625" style="0" customWidth="1"/>
    <col min="22" max="22" width="30.421875" style="0" customWidth="1"/>
    <col min="23" max="23" width="31.7109375" style="0" customWidth="1"/>
    <col min="24" max="24" width="35.8515625" style="0" bestFit="1" customWidth="1"/>
    <col min="25" max="25" width="20.421875" style="0" bestFit="1" customWidth="1"/>
    <col min="26" max="26" width="18.140625" style="0" bestFit="1" customWidth="1"/>
    <col min="27" max="27" width="18.140625" style="0" customWidth="1"/>
    <col min="28" max="29" width="14.8515625" style="0" bestFit="1" customWidth="1"/>
  </cols>
  <sheetData>
    <row r="1" ht="23.25">
      <c r="B1" s="53" t="s">
        <v>273</v>
      </c>
    </row>
    <row r="2" spans="3:22" ht="12.75">
      <c r="C2" t="s">
        <v>274</v>
      </c>
      <c r="U2" s="223">
        <v>356</v>
      </c>
      <c r="V2" s="224" t="s">
        <v>434</v>
      </c>
    </row>
    <row r="3" spans="21:26" ht="13.5" thickBot="1">
      <c r="U3" s="223">
        <v>300</v>
      </c>
      <c r="V3" s="225" t="s">
        <v>433</v>
      </c>
      <c r="Z3" s="27"/>
    </row>
    <row r="4" spans="12:22" ht="13.5" thickBot="1">
      <c r="L4" s="148">
        <v>0.1</v>
      </c>
      <c r="M4" t="s">
        <v>275</v>
      </c>
      <c r="N4" s="148">
        <v>0.1</v>
      </c>
      <c r="O4" t="s">
        <v>275</v>
      </c>
      <c r="Q4" s="148">
        <v>0.25</v>
      </c>
      <c r="R4" t="s">
        <v>275</v>
      </c>
      <c r="U4" s="223" t="s">
        <v>432</v>
      </c>
      <c r="V4" s="149" t="s">
        <v>276</v>
      </c>
    </row>
    <row r="5" spans="12:27" ht="13.5" thickBot="1">
      <c r="L5" s="150">
        <f>SUM(SolarCells!$K$6*2)</f>
        <v>1689600</v>
      </c>
      <c r="M5" s="151" t="s">
        <v>277</v>
      </c>
      <c r="N5" s="240">
        <v>13.42</v>
      </c>
      <c r="O5" s="151" t="s">
        <v>534</v>
      </c>
      <c r="P5" s="151"/>
      <c r="Q5" s="152">
        <v>38</v>
      </c>
      <c r="R5" s="151" t="s">
        <v>278</v>
      </c>
      <c r="U5" s="153">
        <v>1.2</v>
      </c>
      <c r="V5" s="154" t="s">
        <v>279</v>
      </c>
      <c r="Z5" s="155" t="s">
        <v>383</v>
      </c>
      <c r="AA5" s="247"/>
    </row>
    <row r="6" spans="4:27" ht="14.25" customHeight="1" thickBot="1">
      <c r="D6" s="156" t="s">
        <v>280</v>
      </c>
      <c r="E6" s="156" t="s">
        <v>749</v>
      </c>
      <c r="F6" s="156"/>
      <c r="H6" s="148">
        <v>0.13</v>
      </c>
      <c r="I6" s="156"/>
      <c r="J6" s="156"/>
      <c r="L6" s="157">
        <v>0.001</v>
      </c>
      <c r="M6" s="151" t="s">
        <v>281</v>
      </c>
      <c r="N6" s="157">
        <v>1.76</v>
      </c>
      <c r="O6" s="151" t="s">
        <v>282</v>
      </c>
      <c r="P6" s="151"/>
      <c r="Q6" s="157">
        <v>1</v>
      </c>
      <c r="R6" s="151" t="s">
        <v>283</v>
      </c>
      <c r="U6" s="158">
        <v>24</v>
      </c>
      <c r="V6" s="159" t="s">
        <v>284</v>
      </c>
      <c r="Z6" s="160">
        <v>0.5</v>
      </c>
      <c r="AA6" s="248"/>
    </row>
    <row r="7" spans="2:28" ht="13.5" thickBot="1">
      <c r="B7" s="11" t="s">
        <v>285</v>
      </c>
      <c r="C7" s="11" t="s">
        <v>286</v>
      </c>
      <c r="D7" s="11" t="s">
        <v>287</v>
      </c>
      <c r="E7" s="11" t="s">
        <v>356</v>
      </c>
      <c r="F7" s="11" t="s">
        <v>356</v>
      </c>
      <c r="G7" s="11" t="s">
        <v>469</v>
      </c>
      <c r="H7" s="11" t="s">
        <v>530</v>
      </c>
      <c r="I7" s="30" t="s">
        <v>531</v>
      </c>
      <c r="J7" s="30" t="s">
        <v>532</v>
      </c>
      <c r="K7" s="11" t="s">
        <v>538</v>
      </c>
      <c r="L7" s="11" t="s">
        <v>288</v>
      </c>
      <c r="M7" s="11" t="s">
        <v>289</v>
      </c>
      <c r="N7" s="11" t="s">
        <v>290</v>
      </c>
      <c r="O7" s="11"/>
      <c r="P7" s="30" t="s">
        <v>291</v>
      </c>
      <c r="Q7" s="161" t="s">
        <v>387</v>
      </c>
      <c r="R7" s="11" t="s">
        <v>388</v>
      </c>
      <c r="S7" s="162" t="s">
        <v>292</v>
      </c>
      <c r="T7" s="11" t="s">
        <v>293</v>
      </c>
      <c r="U7" s="30"/>
      <c r="V7" s="30" t="s">
        <v>431</v>
      </c>
      <c r="W7" s="30" t="s">
        <v>385</v>
      </c>
      <c r="X7" s="30" t="s">
        <v>386</v>
      </c>
      <c r="Y7" s="30" t="s">
        <v>389</v>
      </c>
      <c r="Z7" s="155" t="s">
        <v>383</v>
      </c>
      <c r="AA7" t="s">
        <v>548</v>
      </c>
      <c r="AB7" s="30" t="s">
        <v>294</v>
      </c>
    </row>
    <row r="8" spans="2:28" ht="13.5" thickBot="1">
      <c r="B8" s="163" t="s">
        <v>295</v>
      </c>
      <c r="C8" s="11">
        <v>1</v>
      </c>
      <c r="D8" s="11"/>
      <c r="E8" s="291">
        <v>2</v>
      </c>
      <c r="F8" s="291">
        <v>2</v>
      </c>
      <c r="G8" s="11"/>
      <c r="H8" s="11"/>
      <c r="I8" s="165">
        <v>5</v>
      </c>
      <c r="J8" s="11"/>
      <c r="K8" s="164">
        <v>10000000</v>
      </c>
      <c r="L8" s="165">
        <f>SUM(L5*C8)*L6</f>
        <v>1689.6000000000001</v>
      </c>
      <c r="M8" s="11" t="s">
        <v>296</v>
      </c>
      <c r="N8" s="165">
        <f>SUM(N6*N5)</f>
        <v>23.6192</v>
      </c>
      <c r="O8" s="66" t="s">
        <v>430</v>
      </c>
      <c r="P8" s="11"/>
      <c r="Q8" s="166">
        <f>SUM(Q6*Q5)</f>
        <v>38</v>
      </c>
      <c r="R8" s="11"/>
      <c r="S8" s="201">
        <f>'Advertising - Rent'!$F$18</f>
        <v>66665.81102362205</v>
      </c>
      <c r="T8" s="167">
        <f aca="true" t="shared" si="0" ref="T8:T39">SUM(S8*12)</f>
        <v>799989.7322834646</v>
      </c>
      <c r="U8" s="165"/>
      <c r="V8" s="165">
        <f>SUM(U5*U6*U3*U2)</f>
        <v>3075840</v>
      </c>
      <c r="W8" s="167">
        <f>'Advertising - Rent'!$G$31</f>
        <v>235224000</v>
      </c>
      <c r="X8" s="167">
        <v>120000</v>
      </c>
      <c r="Y8" s="11"/>
      <c r="Z8" s="30" t="s">
        <v>435</v>
      </c>
      <c r="AA8" s="249">
        <v>0.25</v>
      </c>
      <c r="AB8" s="11"/>
    </row>
    <row r="9" spans="1:28" ht="12.75">
      <c r="A9" t="s">
        <v>549</v>
      </c>
      <c r="B9" t="s">
        <v>297</v>
      </c>
      <c r="C9">
        <v>923</v>
      </c>
      <c r="D9">
        <v>3651</v>
      </c>
      <c r="E9" s="11">
        <f aca="true" t="shared" si="1" ref="E9:E16">SUM(C9/5)*$E$8</f>
        <v>369.2</v>
      </c>
      <c r="F9" s="11">
        <f>SUM(D9/5)*$F$8</f>
        <v>1460.4</v>
      </c>
      <c r="G9" s="237">
        <v>4500752</v>
      </c>
      <c r="H9" s="102">
        <f>SUM(G9*$H$6)</f>
        <v>585097.76</v>
      </c>
      <c r="I9" s="168">
        <f>SUM(H9*$I$8)</f>
        <v>2925488.8</v>
      </c>
      <c r="J9" s="27">
        <f>SUM(I9*365)</f>
        <v>1067803411.9999999</v>
      </c>
      <c r="K9" s="168">
        <f aca="true" t="shared" si="2" ref="K9:K40">SUM(C9*$K$8)</f>
        <v>9230000000</v>
      </c>
      <c r="L9" s="168">
        <f aca="true" t="shared" si="3" ref="L9:L40">SUM(C9*$L$8)*$L$4</f>
        <v>155950.08000000002</v>
      </c>
      <c r="M9" s="168">
        <f aca="true" t="shared" si="4" ref="M9:M40">SUM(L9*365)*8</f>
        <v>455374233.6</v>
      </c>
      <c r="N9" s="168">
        <f aca="true" t="shared" si="5" ref="N9:N40">SUM($N$8*C9)*$N$4</f>
        <v>2180.05216</v>
      </c>
      <c r="O9" s="168">
        <f aca="true" t="shared" si="6" ref="O9:O40">SUM(N9*8)</f>
        <v>17440.41728</v>
      </c>
      <c r="P9" s="221">
        <f>SUM(O9*365)</f>
        <v>6365752.307200001</v>
      </c>
      <c r="Q9" s="168">
        <f aca="true" t="shared" si="7" ref="Q9:Q40">SUM(C9*$Q$8)*$Q$4</f>
        <v>8768.5</v>
      </c>
      <c r="R9" s="168">
        <f>SUM(Q9*365)</f>
        <v>3200502.5</v>
      </c>
      <c r="S9" s="168">
        <f aca="true" t="shared" si="8" ref="S9:S40">SUM(C9*$S$8)</f>
        <v>61532543.57480315</v>
      </c>
      <c r="T9" s="168">
        <f t="shared" si="0"/>
        <v>738390522.8976378</v>
      </c>
      <c r="U9" s="168"/>
      <c r="V9" s="168">
        <f aca="true" t="shared" si="9" ref="V9:V40">SUM($V$8*C9)</f>
        <v>2839000320</v>
      </c>
      <c r="W9" s="168">
        <f aca="true" t="shared" si="10" ref="W9:W40">SUM(C9*$W$8)</f>
        <v>217111752000</v>
      </c>
      <c r="X9" s="168">
        <f aca="true" t="shared" si="11" ref="X9:X40">SUM(C9*$X$8)</f>
        <v>110760000</v>
      </c>
      <c r="Y9" s="168">
        <f>SUM(M9+P9+J9+R9+T9+V9+W9+X9)</f>
        <v>222332646743.30484</v>
      </c>
      <c r="Z9" s="168">
        <f aca="true" t="shared" si="12" ref="Z9:Z40">SUM(Y9*$Z$6)</f>
        <v>111166323371.65242</v>
      </c>
      <c r="AA9" s="168">
        <f>SUM(Z9*$AA$8)</f>
        <v>27791580842.913105</v>
      </c>
      <c r="AB9">
        <f aca="true" t="shared" si="13" ref="AB9:AB40">SUM(K9/Z9)</f>
        <v>0.08302874215909946</v>
      </c>
    </row>
    <row r="10" spans="1:28" ht="12.75">
      <c r="A10" t="s">
        <v>550</v>
      </c>
      <c r="B10" t="s">
        <v>298</v>
      </c>
      <c r="C10">
        <v>1083</v>
      </c>
      <c r="D10">
        <v>2113</v>
      </c>
      <c r="E10" s="11">
        <f t="shared" si="1"/>
        <v>433.2</v>
      </c>
      <c r="F10" s="11">
        <f aca="true" t="shared" si="14" ref="F10:F60">SUM(D10/5)*$F$8</f>
        <v>845.2</v>
      </c>
      <c r="G10" s="237">
        <v>648818</v>
      </c>
      <c r="H10" s="102">
        <f>SUM(G10*$H$6)</f>
        <v>84346.34</v>
      </c>
      <c r="I10" s="168">
        <f aca="true" t="shared" si="15" ref="I10:I60">SUM(H10*$I$8)</f>
        <v>421731.69999999995</v>
      </c>
      <c r="J10" s="27">
        <f>SUM(I10*365)</f>
        <v>153932070.49999997</v>
      </c>
      <c r="K10" s="168">
        <f t="shared" si="2"/>
        <v>10830000000</v>
      </c>
      <c r="L10" s="168">
        <f t="shared" si="3"/>
        <v>182983.68000000002</v>
      </c>
      <c r="M10" s="168">
        <f t="shared" si="4"/>
        <v>534312345.6000001</v>
      </c>
      <c r="N10" s="168">
        <f t="shared" si="5"/>
        <v>2557.9593600000003</v>
      </c>
      <c r="O10" s="168">
        <f t="shared" si="6"/>
        <v>20463.674880000002</v>
      </c>
      <c r="P10" s="221">
        <f aca="true" t="shared" si="16" ref="P10:P60">SUM(O10*365)</f>
        <v>7469241.331200001</v>
      </c>
      <c r="Q10" s="168">
        <f t="shared" si="7"/>
        <v>10288.5</v>
      </c>
      <c r="R10" s="168">
        <f aca="true" t="shared" si="17" ref="R10:R60">SUM(Q10*365)</f>
        <v>3755302.5</v>
      </c>
      <c r="S10" s="168">
        <f t="shared" si="8"/>
        <v>72199073.33858268</v>
      </c>
      <c r="T10" s="168">
        <f t="shared" si="0"/>
        <v>866388880.0629921</v>
      </c>
      <c r="U10" s="168"/>
      <c r="V10" s="168">
        <f t="shared" si="9"/>
        <v>3331134720</v>
      </c>
      <c r="W10" s="168">
        <f t="shared" si="10"/>
        <v>254747592000</v>
      </c>
      <c r="X10" s="168">
        <f t="shared" si="11"/>
        <v>129960000</v>
      </c>
      <c r="Y10" s="168">
        <f aca="true" t="shared" si="18" ref="Y10:Y61">SUM(M10+P10+J10+R10+T10+V10+W10+X10)</f>
        <v>259774544559.9942</v>
      </c>
      <c r="Z10" s="168">
        <f t="shared" si="12"/>
        <v>129887272279.9971</v>
      </c>
      <c r="AA10" s="168">
        <f aca="true" t="shared" si="19" ref="AA10:AA60">SUM(Z10*$AA$8)</f>
        <v>32471818069.999275</v>
      </c>
      <c r="AB10">
        <f t="shared" si="13"/>
        <v>0.08337999412793767</v>
      </c>
    </row>
    <row r="11" spans="1:28" ht="12.75">
      <c r="A11" t="s">
        <v>551</v>
      </c>
      <c r="B11" t="s">
        <v>299</v>
      </c>
      <c r="C11">
        <v>1300</v>
      </c>
      <c r="D11">
        <v>2713</v>
      </c>
      <c r="E11" s="11">
        <f t="shared" si="1"/>
        <v>520</v>
      </c>
      <c r="F11" s="11">
        <f t="shared" si="14"/>
        <v>1085.2</v>
      </c>
      <c r="G11" s="237">
        <v>5580811</v>
      </c>
      <c r="H11" s="102">
        <f aca="true" t="shared" si="20" ref="H11:H60">SUM(G11*$H$6)</f>
        <v>725505.43</v>
      </c>
      <c r="I11" s="168">
        <f t="shared" si="15"/>
        <v>3627527.1500000004</v>
      </c>
      <c r="J11" s="27">
        <f aca="true" t="shared" si="21" ref="J11:J60">SUM(I11*365)</f>
        <v>1324047409.7500002</v>
      </c>
      <c r="K11" s="168">
        <f t="shared" si="2"/>
        <v>13000000000</v>
      </c>
      <c r="L11" s="168">
        <f t="shared" si="3"/>
        <v>219648</v>
      </c>
      <c r="M11" s="168">
        <f t="shared" si="4"/>
        <v>641372160</v>
      </c>
      <c r="N11" s="168">
        <f t="shared" si="5"/>
        <v>3070.496</v>
      </c>
      <c r="O11" s="168">
        <f t="shared" si="6"/>
        <v>24563.968</v>
      </c>
      <c r="P11" s="221">
        <f t="shared" si="16"/>
        <v>8965848.32</v>
      </c>
      <c r="Q11" s="168">
        <f t="shared" si="7"/>
        <v>12350</v>
      </c>
      <c r="R11" s="168">
        <f t="shared" si="17"/>
        <v>4507750</v>
      </c>
      <c r="S11" s="168">
        <f t="shared" si="8"/>
        <v>86665554.33070867</v>
      </c>
      <c r="T11" s="168">
        <f t="shared" si="0"/>
        <v>1039986651.968504</v>
      </c>
      <c r="U11" s="168"/>
      <c r="V11" s="168">
        <f t="shared" si="9"/>
        <v>3998592000</v>
      </c>
      <c r="W11" s="168">
        <f t="shared" si="10"/>
        <v>305791200000</v>
      </c>
      <c r="X11" s="168">
        <f t="shared" si="11"/>
        <v>156000000</v>
      </c>
      <c r="Y11" s="168">
        <f t="shared" si="18"/>
        <v>312964671820.0385</v>
      </c>
      <c r="Z11" s="168">
        <f t="shared" si="12"/>
        <v>156482335910.01926</v>
      </c>
      <c r="AA11" s="168">
        <f t="shared" si="19"/>
        <v>39120583977.504814</v>
      </c>
      <c r="AB11">
        <f t="shared" si="13"/>
        <v>0.08307646945835012</v>
      </c>
    </row>
    <row r="12" spans="1:28" ht="12.75">
      <c r="A12" t="s">
        <v>552</v>
      </c>
      <c r="B12" t="s">
        <v>300</v>
      </c>
      <c r="C12">
        <v>740</v>
      </c>
      <c r="D12">
        <v>2692</v>
      </c>
      <c r="E12" s="11">
        <f t="shared" si="1"/>
        <v>296</v>
      </c>
      <c r="F12" s="11">
        <f t="shared" si="14"/>
        <v>1076.8</v>
      </c>
      <c r="G12" s="237">
        <v>2725714</v>
      </c>
      <c r="H12" s="102">
        <f t="shared" si="20"/>
        <v>354342.82</v>
      </c>
      <c r="I12" s="168">
        <f t="shared" si="15"/>
        <v>1771714.1</v>
      </c>
      <c r="J12" s="27">
        <f t="shared" si="21"/>
        <v>646675646.5</v>
      </c>
      <c r="K12" s="168">
        <f t="shared" si="2"/>
        <v>7400000000</v>
      </c>
      <c r="L12" s="168">
        <f t="shared" si="3"/>
        <v>125030.40000000001</v>
      </c>
      <c r="M12" s="168">
        <f t="shared" si="4"/>
        <v>365088768</v>
      </c>
      <c r="N12" s="168">
        <f t="shared" si="5"/>
        <v>1747.8208</v>
      </c>
      <c r="O12" s="168">
        <f t="shared" si="6"/>
        <v>13982.5664</v>
      </c>
      <c r="P12" s="221">
        <f t="shared" si="16"/>
        <v>5103636.736</v>
      </c>
      <c r="Q12" s="168">
        <f t="shared" si="7"/>
        <v>7030</v>
      </c>
      <c r="R12" s="168">
        <f t="shared" si="17"/>
        <v>2565950</v>
      </c>
      <c r="S12" s="168">
        <f t="shared" si="8"/>
        <v>49332700.15748032</v>
      </c>
      <c r="T12" s="168">
        <f t="shared" si="0"/>
        <v>591992401.8897638</v>
      </c>
      <c r="U12" s="168"/>
      <c r="V12" s="168">
        <f t="shared" si="9"/>
        <v>2276121600</v>
      </c>
      <c r="W12" s="168">
        <f t="shared" si="10"/>
        <v>174065760000</v>
      </c>
      <c r="X12" s="168">
        <f t="shared" si="11"/>
        <v>88800000</v>
      </c>
      <c r="Y12" s="168">
        <f t="shared" si="18"/>
        <v>178042108003.12576</v>
      </c>
      <c r="Z12" s="168">
        <f t="shared" si="12"/>
        <v>89021054001.56288</v>
      </c>
      <c r="AA12" s="168">
        <f t="shared" si="19"/>
        <v>22255263500.39072</v>
      </c>
      <c r="AB12">
        <f t="shared" si="13"/>
        <v>0.08312640288296388</v>
      </c>
    </row>
    <row r="13" spans="1:28" s="11" customFormat="1" ht="12.75">
      <c r="A13" t="s">
        <v>553</v>
      </c>
      <c r="B13" s="11" t="s">
        <v>301</v>
      </c>
      <c r="C13" s="11">
        <v>3523</v>
      </c>
      <c r="D13" s="11">
        <v>7626</v>
      </c>
      <c r="E13" s="11">
        <f t="shared" si="1"/>
        <v>1409.2</v>
      </c>
      <c r="F13" s="11">
        <f t="shared" si="14"/>
        <v>3050.4</v>
      </c>
      <c r="G13" s="237">
        <v>35484453</v>
      </c>
      <c r="H13" s="102">
        <f t="shared" si="20"/>
        <v>4612978.890000001</v>
      </c>
      <c r="I13" s="168">
        <f t="shared" si="15"/>
        <v>23064894.450000003</v>
      </c>
      <c r="J13" s="27">
        <f t="shared" si="21"/>
        <v>8418686474.250001</v>
      </c>
      <c r="K13" s="167">
        <f t="shared" si="2"/>
        <v>35230000000</v>
      </c>
      <c r="L13" s="167">
        <f t="shared" si="3"/>
        <v>595246.0800000001</v>
      </c>
      <c r="M13" s="167">
        <f t="shared" si="4"/>
        <v>1738118553.6000001</v>
      </c>
      <c r="N13" s="167">
        <f t="shared" si="5"/>
        <v>8321.04416</v>
      </c>
      <c r="O13" s="167">
        <f t="shared" si="6"/>
        <v>66568.35328</v>
      </c>
      <c r="P13" s="222">
        <f t="shared" si="16"/>
        <v>24297448.9472</v>
      </c>
      <c r="Q13" s="167">
        <f t="shared" si="7"/>
        <v>33468.5</v>
      </c>
      <c r="R13" s="167">
        <f t="shared" si="17"/>
        <v>12216002.5</v>
      </c>
      <c r="S13" s="167">
        <f t="shared" si="8"/>
        <v>234863652.23622048</v>
      </c>
      <c r="T13" s="167">
        <f t="shared" si="0"/>
        <v>2818363826.8346457</v>
      </c>
      <c r="U13" s="167"/>
      <c r="V13" s="167">
        <f t="shared" si="9"/>
        <v>10836184320</v>
      </c>
      <c r="W13" s="167">
        <f t="shared" si="10"/>
        <v>828694152000</v>
      </c>
      <c r="X13" s="167">
        <f t="shared" si="11"/>
        <v>422760000</v>
      </c>
      <c r="Y13" s="168">
        <f t="shared" si="18"/>
        <v>852964778626.1318</v>
      </c>
      <c r="Z13" s="167">
        <f t="shared" si="12"/>
        <v>426482389313.0659</v>
      </c>
      <c r="AA13" s="168">
        <f t="shared" si="19"/>
        <v>106620597328.26648</v>
      </c>
      <c r="AB13" s="11">
        <f t="shared" si="13"/>
        <v>0.08260599003101833</v>
      </c>
    </row>
    <row r="14" spans="1:28" ht="12.75">
      <c r="A14" t="s">
        <v>554</v>
      </c>
      <c r="B14" t="s">
        <v>302</v>
      </c>
      <c r="C14">
        <v>1151</v>
      </c>
      <c r="D14">
        <v>3416</v>
      </c>
      <c r="E14" s="11">
        <f t="shared" si="1"/>
        <v>460.4</v>
      </c>
      <c r="F14" s="11">
        <f t="shared" si="14"/>
        <v>1366.4</v>
      </c>
      <c r="G14" s="237">
        <v>4550688</v>
      </c>
      <c r="H14" s="102">
        <f t="shared" si="20"/>
        <v>591589.4400000001</v>
      </c>
      <c r="I14" s="168">
        <f t="shared" si="15"/>
        <v>2957947.2</v>
      </c>
      <c r="J14" s="27">
        <f t="shared" si="21"/>
        <v>1079650728</v>
      </c>
      <c r="K14" s="168">
        <f t="shared" si="2"/>
        <v>11510000000</v>
      </c>
      <c r="L14" s="168">
        <f t="shared" si="3"/>
        <v>194472.96000000002</v>
      </c>
      <c r="M14" s="168">
        <f t="shared" si="4"/>
        <v>567861043.2</v>
      </c>
      <c r="N14" s="168">
        <f t="shared" si="5"/>
        <v>2718.56992</v>
      </c>
      <c r="O14" s="168">
        <f t="shared" si="6"/>
        <v>21748.55936</v>
      </c>
      <c r="P14" s="221">
        <f t="shared" si="16"/>
        <v>7938224.1663999995</v>
      </c>
      <c r="Q14" s="168">
        <f t="shared" si="7"/>
        <v>10934.5</v>
      </c>
      <c r="R14" s="168">
        <f t="shared" si="17"/>
        <v>3991092.5</v>
      </c>
      <c r="S14" s="168">
        <f t="shared" si="8"/>
        <v>76732348.48818898</v>
      </c>
      <c r="T14" s="168">
        <f t="shared" si="0"/>
        <v>920788181.8582678</v>
      </c>
      <c r="U14" s="168"/>
      <c r="V14" s="168">
        <f t="shared" si="9"/>
        <v>3540291840</v>
      </c>
      <c r="W14" s="168">
        <f t="shared" si="10"/>
        <v>270742824000</v>
      </c>
      <c r="X14" s="168">
        <f t="shared" si="11"/>
        <v>138120000</v>
      </c>
      <c r="Y14" s="168">
        <f t="shared" si="18"/>
        <v>277001465109.7247</v>
      </c>
      <c r="Z14" s="168">
        <f t="shared" si="12"/>
        <v>138500732554.86234</v>
      </c>
      <c r="AA14" s="168">
        <f t="shared" si="19"/>
        <v>34625183138.71558</v>
      </c>
      <c r="AB14">
        <f t="shared" si="13"/>
        <v>0.08310425358537873</v>
      </c>
    </row>
    <row r="15" spans="1:28" ht="12.75">
      <c r="A15" t="s">
        <v>555</v>
      </c>
      <c r="B15" t="s">
        <v>303</v>
      </c>
      <c r="C15">
        <v>533</v>
      </c>
      <c r="D15">
        <v>964</v>
      </c>
      <c r="E15" s="11">
        <f t="shared" si="1"/>
        <v>213.2</v>
      </c>
      <c r="F15" s="11">
        <f t="shared" si="14"/>
        <v>385.6</v>
      </c>
      <c r="G15" s="237">
        <v>3483372</v>
      </c>
      <c r="H15" s="102">
        <f t="shared" si="20"/>
        <v>452838.36000000004</v>
      </c>
      <c r="I15" s="168">
        <f t="shared" si="15"/>
        <v>2264191.8000000003</v>
      </c>
      <c r="J15" s="27">
        <f t="shared" si="21"/>
        <v>826430007.0000001</v>
      </c>
      <c r="K15" s="168">
        <f t="shared" si="2"/>
        <v>5330000000</v>
      </c>
      <c r="L15" s="168">
        <f t="shared" si="3"/>
        <v>90055.68000000001</v>
      </c>
      <c r="M15" s="168">
        <f t="shared" si="4"/>
        <v>262962585.60000002</v>
      </c>
      <c r="N15" s="168">
        <f t="shared" si="5"/>
        <v>1258.90336</v>
      </c>
      <c r="O15" s="168">
        <f t="shared" si="6"/>
        <v>10071.22688</v>
      </c>
      <c r="P15" s="221">
        <f t="shared" si="16"/>
        <v>3675997.8112</v>
      </c>
      <c r="Q15" s="168">
        <f t="shared" si="7"/>
        <v>5063.5</v>
      </c>
      <c r="R15" s="168">
        <f t="shared" si="17"/>
        <v>1848177.5</v>
      </c>
      <c r="S15" s="168">
        <f t="shared" si="8"/>
        <v>35532877.275590554</v>
      </c>
      <c r="T15" s="168">
        <f t="shared" si="0"/>
        <v>426394527.30708665</v>
      </c>
      <c r="U15" s="168"/>
      <c r="V15" s="168">
        <f t="shared" si="9"/>
        <v>1639422720</v>
      </c>
      <c r="W15" s="168">
        <f t="shared" si="10"/>
        <v>125374392000</v>
      </c>
      <c r="X15" s="168">
        <f t="shared" si="11"/>
        <v>63960000</v>
      </c>
      <c r="Y15" s="168">
        <f t="shared" si="18"/>
        <v>128599086015.21829</v>
      </c>
      <c r="Z15" s="168">
        <f t="shared" si="12"/>
        <v>64299543007.609146</v>
      </c>
      <c r="AA15" s="168">
        <f t="shared" si="19"/>
        <v>16074885751.902287</v>
      </c>
      <c r="AB15">
        <f t="shared" si="13"/>
        <v>0.0828932796516027</v>
      </c>
    </row>
    <row r="16" spans="1:28" ht="12.75">
      <c r="A16" t="s">
        <v>556</v>
      </c>
      <c r="B16" t="s">
        <v>304</v>
      </c>
      <c r="C16">
        <v>55</v>
      </c>
      <c r="D16">
        <v>315</v>
      </c>
      <c r="E16" s="11">
        <f t="shared" si="1"/>
        <v>22</v>
      </c>
      <c r="F16" s="11">
        <f t="shared" si="14"/>
        <v>126</v>
      </c>
      <c r="G16" s="237">
        <v>817491</v>
      </c>
      <c r="H16" s="102">
        <f t="shared" si="20"/>
        <v>106273.83</v>
      </c>
      <c r="I16" s="168">
        <f t="shared" si="15"/>
        <v>531369.15</v>
      </c>
      <c r="J16" s="27">
        <f t="shared" si="21"/>
        <v>193949739.75</v>
      </c>
      <c r="K16" s="168">
        <f t="shared" si="2"/>
        <v>550000000</v>
      </c>
      <c r="L16" s="168">
        <f t="shared" si="3"/>
        <v>9292.800000000001</v>
      </c>
      <c r="M16" s="168">
        <f t="shared" si="4"/>
        <v>27134976.000000004</v>
      </c>
      <c r="N16" s="168">
        <f t="shared" si="5"/>
        <v>129.90560000000002</v>
      </c>
      <c r="O16" s="168">
        <f t="shared" si="6"/>
        <v>1039.2448000000002</v>
      </c>
      <c r="P16" s="221">
        <f t="shared" si="16"/>
        <v>379324.3520000001</v>
      </c>
      <c r="Q16" s="168">
        <f t="shared" si="7"/>
        <v>522.5</v>
      </c>
      <c r="R16" s="168">
        <f t="shared" si="17"/>
        <v>190712.5</v>
      </c>
      <c r="S16" s="168">
        <f t="shared" si="8"/>
        <v>3666619.606299213</v>
      </c>
      <c r="T16" s="168">
        <f t="shared" si="0"/>
        <v>43999435.275590554</v>
      </c>
      <c r="U16" s="168"/>
      <c r="V16" s="168">
        <f t="shared" si="9"/>
        <v>169171200</v>
      </c>
      <c r="W16" s="168">
        <f t="shared" si="10"/>
        <v>12937320000</v>
      </c>
      <c r="X16" s="168">
        <f t="shared" si="11"/>
        <v>6600000</v>
      </c>
      <c r="Y16" s="168">
        <f t="shared" si="18"/>
        <v>13378745387.87759</v>
      </c>
      <c r="Z16" s="168">
        <f t="shared" si="12"/>
        <v>6689372693.938795</v>
      </c>
      <c r="AA16" s="168">
        <f t="shared" si="19"/>
        <v>1672343173.4846988</v>
      </c>
      <c r="AB16">
        <f t="shared" si="13"/>
        <v>0.08221996667914049</v>
      </c>
    </row>
    <row r="17" spans="1:28" s="11" customFormat="1" ht="12.75">
      <c r="A17" t="s">
        <v>557</v>
      </c>
      <c r="B17" s="11" t="s">
        <v>305</v>
      </c>
      <c r="C17" s="11">
        <v>33</v>
      </c>
      <c r="D17" s="11">
        <v>84</v>
      </c>
      <c r="E17" s="11">
        <f aca="true" t="shared" si="22" ref="E17:E60">SUM(C17/5)*$E$8</f>
        <v>13.2</v>
      </c>
      <c r="F17" s="11">
        <f t="shared" si="14"/>
        <v>33.6</v>
      </c>
      <c r="G17" s="237">
        <v>563384</v>
      </c>
      <c r="H17" s="102">
        <f t="shared" si="20"/>
        <v>73239.92</v>
      </c>
      <c r="I17" s="168">
        <f t="shared" si="15"/>
        <v>366199.6</v>
      </c>
      <c r="J17" s="27">
        <f t="shared" si="21"/>
        <v>133662853.99999999</v>
      </c>
      <c r="K17" s="167">
        <f t="shared" si="2"/>
        <v>330000000</v>
      </c>
      <c r="L17" s="167">
        <f t="shared" si="3"/>
        <v>5575.68</v>
      </c>
      <c r="M17" s="167">
        <f t="shared" si="4"/>
        <v>16280985.600000001</v>
      </c>
      <c r="N17" s="167">
        <f t="shared" si="5"/>
        <v>77.94336</v>
      </c>
      <c r="O17" s="167">
        <f t="shared" si="6"/>
        <v>623.54688</v>
      </c>
      <c r="P17" s="222">
        <f t="shared" si="16"/>
        <v>227594.61119999998</v>
      </c>
      <c r="Q17" s="167">
        <f t="shared" si="7"/>
        <v>313.5</v>
      </c>
      <c r="R17" s="167">
        <f t="shared" si="17"/>
        <v>114427.5</v>
      </c>
      <c r="S17" s="167">
        <f t="shared" si="8"/>
        <v>2199971.7637795275</v>
      </c>
      <c r="T17" s="167">
        <f t="shared" si="0"/>
        <v>26399661.16535433</v>
      </c>
      <c r="U17" s="167"/>
      <c r="V17" s="167">
        <f t="shared" si="9"/>
        <v>101502720</v>
      </c>
      <c r="W17" s="167">
        <f t="shared" si="10"/>
        <v>7762392000</v>
      </c>
      <c r="X17" s="167">
        <f t="shared" si="11"/>
        <v>3960000</v>
      </c>
      <c r="Y17" s="168">
        <f t="shared" si="18"/>
        <v>8044540242.8765545</v>
      </c>
      <c r="Z17" s="167">
        <f t="shared" si="12"/>
        <v>4022270121.4382772</v>
      </c>
      <c r="AA17" s="168">
        <f t="shared" si="19"/>
        <v>1005567530.3595693</v>
      </c>
      <c r="AB17" s="11">
        <f t="shared" si="13"/>
        <v>0.08204322187143391</v>
      </c>
    </row>
    <row r="18" spans="1:28" s="11" customFormat="1" ht="12.75">
      <c r="A18" t="s">
        <v>558</v>
      </c>
      <c r="B18" s="11" t="s">
        <v>306</v>
      </c>
      <c r="C18" s="11">
        <v>1854</v>
      </c>
      <c r="D18" s="11">
        <v>4340</v>
      </c>
      <c r="E18" s="11">
        <f t="shared" si="22"/>
        <v>741.6</v>
      </c>
      <c r="F18" s="11">
        <f t="shared" si="14"/>
        <v>1736</v>
      </c>
      <c r="G18" s="237">
        <v>17019068</v>
      </c>
      <c r="H18" s="102">
        <f t="shared" si="20"/>
        <v>2212478.84</v>
      </c>
      <c r="I18" s="168">
        <f t="shared" si="15"/>
        <v>11062394.2</v>
      </c>
      <c r="J18" s="27">
        <f t="shared" si="21"/>
        <v>4037773882.9999995</v>
      </c>
      <c r="K18" s="167">
        <f t="shared" si="2"/>
        <v>18540000000</v>
      </c>
      <c r="L18" s="167">
        <f t="shared" si="3"/>
        <v>313251.84</v>
      </c>
      <c r="M18" s="167">
        <f t="shared" si="4"/>
        <v>914695372.8000001</v>
      </c>
      <c r="N18" s="167">
        <f t="shared" si="5"/>
        <v>4378.99968</v>
      </c>
      <c r="O18" s="167">
        <f t="shared" si="6"/>
        <v>35031.99744</v>
      </c>
      <c r="P18" s="222">
        <f t="shared" si="16"/>
        <v>12786679.0656</v>
      </c>
      <c r="Q18" s="167">
        <f t="shared" si="7"/>
        <v>17613</v>
      </c>
      <c r="R18" s="167">
        <f t="shared" si="17"/>
        <v>6428745</v>
      </c>
      <c r="S18" s="167">
        <f t="shared" si="8"/>
        <v>123598413.63779528</v>
      </c>
      <c r="T18" s="167">
        <f t="shared" si="0"/>
        <v>1483180963.6535435</v>
      </c>
      <c r="U18" s="167"/>
      <c r="V18" s="167">
        <f t="shared" si="9"/>
        <v>5702607360</v>
      </c>
      <c r="W18" s="167">
        <f t="shared" si="10"/>
        <v>436105296000</v>
      </c>
      <c r="X18" s="167">
        <f t="shared" si="11"/>
        <v>222480000</v>
      </c>
      <c r="Y18" s="168">
        <f t="shared" si="18"/>
        <v>448485249003.51917</v>
      </c>
      <c r="Z18" s="167">
        <f t="shared" si="12"/>
        <v>224242624501.75958</v>
      </c>
      <c r="AA18" s="168">
        <f t="shared" si="19"/>
        <v>56060656125.439896</v>
      </c>
      <c r="AB18" s="11">
        <f t="shared" si="13"/>
        <v>0.08267830454265183</v>
      </c>
    </row>
    <row r="19" spans="1:28" s="11" customFormat="1" ht="12.75">
      <c r="A19" t="s">
        <v>559</v>
      </c>
      <c r="B19" s="11" t="s">
        <v>307</v>
      </c>
      <c r="C19" s="11">
        <v>1330</v>
      </c>
      <c r="D19" s="11">
        <v>4810</v>
      </c>
      <c r="E19" s="11">
        <f t="shared" si="22"/>
        <v>532</v>
      </c>
      <c r="F19" s="11">
        <f t="shared" si="14"/>
        <v>1924</v>
      </c>
      <c r="G19" s="237">
        <v>8684715</v>
      </c>
      <c r="H19" s="102">
        <f t="shared" si="20"/>
        <v>1129012.95</v>
      </c>
      <c r="I19" s="168">
        <f t="shared" si="15"/>
        <v>5645064.75</v>
      </c>
      <c r="J19" s="27">
        <f t="shared" si="21"/>
        <v>2060448633.75</v>
      </c>
      <c r="K19" s="167">
        <f t="shared" si="2"/>
        <v>13300000000</v>
      </c>
      <c r="L19" s="167">
        <f t="shared" si="3"/>
        <v>224716.80000000002</v>
      </c>
      <c r="M19" s="167">
        <f t="shared" si="4"/>
        <v>656173056</v>
      </c>
      <c r="N19" s="167">
        <f t="shared" si="5"/>
        <v>3141.3536000000004</v>
      </c>
      <c r="O19" s="167">
        <f t="shared" si="6"/>
        <v>25130.828800000003</v>
      </c>
      <c r="P19" s="222">
        <f t="shared" si="16"/>
        <v>9172752.512000002</v>
      </c>
      <c r="Q19" s="167">
        <f t="shared" si="7"/>
        <v>12635</v>
      </c>
      <c r="R19" s="167">
        <f t="shared" si="17"/>
        <v>4611775</v>
      </c>
      <c r="S19" s="167">
        <f t="shared" si="8"/>
        <v>88665528.66141734</v>
      </c>
      <c r="T19" s="167">
        <f t="shared" si="0"/>
        <v>1063986343.937008</v>
      </c>
      <c r="U19" s="167"/>
      <c r="V19" s="167">
        <f t="shared" si="9"/>
        <v>4090867200</v>
      </c>
      <c r="W19" s="167">
        <f t="shared" si="10"/>
        <v>312847920000</v>
      </c>
      <c r="X19" s="167">
        <f t="shared" si="11"/>
        <v>159600000</v>
      </c>
      <c r="Y19" s="168">
        <f t="shared" si="18"/>
        <v>320892779761.19904</v>
      </c>
      <c r="Z19" s="167">
        <f t="shared" si="12"/>
        <v>160446389880.59952</v>
      </c>
      <c r="AA19" s="168">
        <f t="shared" si="19"/>
        <v>40111597470.14988</v>
      </c>
      <c r="AB19" s="11">
        <f t="shared" si="13"/>
        <v>0.08289373173118791</v>
      </c>
    </row>
    <row r="20" spans="1:28" ht="12.75">
      <c r="A20" t="s">
        <v>560</v>
      </c>
      <c r="B20" t="s">
        <v>308</v>
      </c>
      <c r="C20">
        <v>70</v>
      </c>
      <c r="D20">
        <v>345</v>
      </c>
      <c r="E20" s="11">
        <f t="shared" si="22"/>
        <v>28</v>
      </c>
      <c r="F20" s="11">
        <f t="shared" si="14"/>
        <v>138</v>
      </c>
      <c r="G20" s="237">
        <v>1257608</v>
      </c>
      <c r="H20" s="102">
        <f t="shared" si="20"/>
        <v>163489.04</v>
      </c>
      <c r="I20" s="168">
        <f t="shared" si="15"/>
        <v>817445.2000000001</v>
      </c>
      <c r="J20" s="27">
        <f t="shared" si="21"/>
        <v>298367498</v>
      </c>
      <c r="K20" s="168">
        <f t="shared" si="2"/>
        <v>700000000</v>
      </c>
      <c r="L20" s="168">
        <f t="shared" si="3"/>
        <v>11827.200000000003</v>
      </c>
      <c r="M20" s="168">
        <f t="shared" si="4"/>
        <v>34535424.00000001</v>
      </c>
      <c r="N20" s="168">
        <f t="shared" si="5"/>
        <v>165.33440000000002</v>
      </c>
      <c r="O20" s="168">
        <f t="shared" si="6"/>
        <v>1322.6752000000001</v>
      </c>
      <c r="P20" s="221">
        <f t="shared" si="16"/>
        <v>482776.44800000003</v>
      </c>
      <c r="Q20" s="168">
        <f t="shared" si="7"/>
        <v>665</v>
      </c>
      <c r="R20" s="168">
        <f t="shared" si="17"/>
        <v>242725</v>
      </c>
      <c r="S20" s="168">
        <f t="shared" si="8"/>
        <v>4666606.771653544</v>
      </c>
      <c r="T20" s="168">
        <f t="shared" si="0"/>
        <v>55999281.25984253</v>
      </c>
      <c r="U20" s="168"/>
      <c r="V20" s="168">
        <f t="shared" si="9"/>
        <v>215308800</v>
      </c>
      <c r="W20" s="168">
        <f t="shared" si="10"/>
        <v>16465680000</v>
      </c>
      <c r="X20" s="168">
        <f t="shared" si="11"/>
        <v>8400000</v>
      </c>
      <c r="Y20" s="168">
        <f t="shared" si="18"/>
        <v>17079016504.707842</v>
      </c>
      <c r="Z20" s="168">
        <f t="shared" si="12"/>
        <v>8539508252.353921</v>
      </c>
      <c r="AA20" s="168">
        <f t="shared" si="19"/>
        <v>2134877063.0884802</v>
      </c>
      <c r="AB20">
        <f t="shared" si="13"/>
        <v>0.08197193319732955</v>
      </c>
    </row>
    <row r="21" spans="1:28" ht="12.75">
      <c r="A21" t="s">
        <v>561</v>
      </c>
      <c r="B21" t="s">
        <v>309</v>
      </c>
      <c r="C21">
        <v>611</v>
      </c>
      <c r="D21">
        <v>2368</v>
      </c>
      <c r="E21" s="11">
        <f t="shared" si="22"/>
        <v>244.4</v>
      </c>
      <c r="F21" s="11">
        <f t="shared" si="14"/>
        <v>947.2</v>
      </c>
      <c r="G21" s="237">
        <v>1366332</v>
      </c>
      <c r="H21" s="102">
        <f t="shared" si="20"/>
        <v>177623.16</v>
      </c>
      <c r="I21" s="168">
        <f t="shared" si="15"/>
        <v>888115.8</v>
      </c>
      <c r="J21" s="27">
        <f t="shared" si="21"/>
        <v>324162267</v>
      </c>
      <c r="K21" s="168">
        <f t="shared" si="2"/>
        <v>6110000000</v>
      </c>
      <c r="L21" s="168">
        <f t="shared" si="3"/>
        <v>103234.56000000001</v>
      </c>
      <c r="M21" s="168">
        <f t="shared" si="4"/>
        <v>301444915.20000005</v>
      </c>
      <c r="N21" s="168">
        <f t="shared" si="5"/>
        <v>1443.13312</v>
      </c>
      <c r="O21" s="168">
        <f t="shared" si="6"/>
        <v>11545.06496</v>
      </c>
      <c r="P21" s="221">
        <f t="shared" si="16"/>
        <v>4213948.7104</v>
      </c>
      <c r="Q21" s="168">
        <f t="shared" si="7"/>
        <v>5804.5</v>
      </c>
      <c r="R21" s="168">
        <f t="shared" si="17"/>
        <v>2118642.5</v>
      </c>
      <c r="S21" s="168">
        <f t="shared" si="8"/>
        <v>40732810.53543308</v>
      </c>
      <c r="T21" s="168">
        <f t="shared" si="0"/>
        <v>488793726.4251969</v>
      </c>
      <c r="U21" s="168"/>
      <c r="V21" s="168">
        <f t="shared" si="9"/>
        <v>1879338240</v>
      </c>
      <c r="W21" s="168">
        <f t="shared" si="10"/>
        <v>143721864000</v>
      </c>
      <c r="X21" s="168">
        <f t="shared" si="11"/>
        <v>73320000</v>
      </c>
      <c r="Y21" s="168">
        <f t="shared" si="18"/>
        <v>146795255739.8356</v>
      </c>
      <c r="Z21" s="168">
        <f t="shared" si="12"/>
        <v>73397627869.9178</v>
      </c>
      <c r="AA21" s="168">
        <f t="shared" si="19"/>
        <v>18349406967.47945</v>
      </c>
      <c r="AB21">
        <f t="shared" si="13"/>
        <v>0.08324519711766051</v>
      </c>
    </row>
    <row r="22" spans="1:28" s="11" customFormat="1" ht="12.75">
      <c r="A22" t="s">
        <v>562</v>
      </c>
      <c r="B22" s="11" t="s">
        <v>310</v>
      </c>
      <c r="C22" s="11">
        <v>2256</v>
      </c>
      <c r="D22" s="11">
        <v>5694</v>
      </c>
      <c r="E22" s="11">
        <f t="shared" si="22"/>
        <v>902.4</v>
      </c>
      <c r="F22" s="11">
        <f t="shared" si="14"/>
        <v>2277.6</v>
      </c>
      <c r="G22" s="237">
        <v>12653544</v>
      </c>
      <c r="H22" s="102">
        <f t="shared" si="20"/>
        <v>1644960.72</v>
      </c>
      <c r="I22" s="168">
        <f t="shared" si="15"/>
        <v>8224803.6</v>
      </c>
      <c r="J22" s="27">
        <f t="shared" si="21"/>
        <v>3002053314</v>
      </c>
      <c r="K22" s="167">
        <f t="shared" si="2"/>
        <v>22560000000</v>
      </c>
      <c r="L22" s="167">
        <f t="shared" si="3"/>
        <v>381173.76</v>
      </c>
      <c r="M22" s="167">
        <f t="shared" si="4"/>
        <v>1113027379.2</v>
      </c>
      <c r="N22" s="167">
        <f t="shared" si="5"/>
        <v>5328.49152</v>
      </c>
      <c r="O22" s="167">
        <f t="shared" si="6"/>
        <v>42627.93216</v>
      </c>
      <c r="P22" s="222">
        <f t="shared" si="16"/>
        <v>15559195.2384</v>
      </c>
      <c r="Q22" s="167">
        <f t="shared" si="7"/>
        <v>21432</v>
      </c>
      <c r="R22" s="167">
        <f t="shared" si="17"/>
        <v>7822680</v>
      </c>
      <c r="S22" s="167">
        <f t="shared" si="8"/>
        <v>150398069.66929135</v>
      </c>
      <c r="T22" s="167">
        <f t="shared" si="0"/>
        <v>1804776836.031496</v>
      </c>
      <c r="U22" s="167"/>
      <c r="V22" s="167">
        <f t="shared" si="9"/>
        <v>6939095040</v>
      </c>
      <c r="W22" s="167">
        <f t="shared" si="10"/>
        <v>530665344000</v>
      </c>
      <c r="X22" s="167">
        <f t="shared" si="11"/>
        <v>270720000</v>
      </c>
      <c r="Y22" s="168">
        <f t="shared" si="18"/>
        <v>543818398444.4699</v>
      </c>
      <c r="Z22" s="167">
        <f t="shared" si="12"/>
        <v>271909199222.23495</v>
      </c>
      <c r="AA22" s="168">
        <f t="shared" si="19"/>
        <v>67977299805.55874</v>
      </c>
      <c r="AB22" s="11">
        <f t="shared" si="13"/>
        <v>0.08296887367007182</v>
      </c>
    </row>
    <row r="23" spans="1:28" ht="12.75">
      <c r="A23" t="s">
        <v>563</v>
      </c>
      <c r="B23" t="s">
        <v>311</v>
      </c>
      <c r="C23">
        <v>1273</v>
      </c>
      <c r="D23">
        <v>2844</v>
      </c>
      <c r="E23" s="11">
        <f t="shared" si="22"/>
        <v>509.2</v>
      </c>
      <c r="F23" s="11">
        <f t="shared" si="14"/>
        <v>1137.6</v>
      </c>
      <c r="G23" s="237">
        <v>6195643</v>
      </c>
      <c r="H23" s="102">
        <f t="shared" si="20"/>
        <v>805433.5900000001</v>
      </c>
      <c r="I23" s="168">
        <f t="shared" si="15"/>
        <v>4027167.95</v>
      </c>
      <c r="J23" s="27">
        <f t="shared" si="21"/>
        <v>1469916301.75</v>
      </c>
      <c r="K23" s="168">
        <f t="shared" si="2"/>
        <v>12730000000</v>
      </c>
      <c r="L23" s="168">
        <f t="shared" si="3"/>
        <v>215086.08000000005</v>
      </c>
      <c r="M23" s="169">
        <f t="shared" si="4"/>
        <v>628051353.6000001</v>
      </c>
      <c r="N23" s="168">
        <f t="shared" si="5"/>
        <v>3006.7241599999998</v>
      </c>
      <c r="O23" s="168">
        <f t="shared" si="6"/>
        <v>24053.793279999998</v>
      </c>
      <c r="P23" s="221">
        <f t="shared" si="16"/>
        <v>8779634.5472</v>
      </c>
      <c r="Q23" s="168">
        <f t="shared" si="7"/>
        <v>12093.5</v>
      </c>
      <c r="R23" s="168">
        <f t="shared" si="17"/>
        <v>4414127.5</v>
      </c>
      <c r="S23" s="168">
        <f t="shared" si="8"/>
        <v>84865577.43307087</v>
      </c>
      <c r="T23" s="168">
        <f t="shared" si="0"/>
        <v>1018386929.1968504</v>
      </c>
      <c r="U23" s="168"/>
      <c r="V23" s="168">
        <f t="shared" si="9"/>
        <v>3915544320</v>
      </c>
      <c r="W23" s="168">
        <f t="shared" si="10"/>
        <v>299440152000</v>
      </c>
      <c r="X23" s="168">
        <f t="shared" si="11"/>
        <v>152760000</v>
      </c>
      <c r="Y23" s="168">
        <f t="shared" si="18"/>
        <v>306638004666.59406</v>
      </c>
      <c r="Z23" s="168">
        <f t="shared" si="12"/>
        <v>153319002333.29703</v>
      </c>
      <c r="AA23" s="168">
        <f t="shared" si="19"/>
        <v>38329750583.32426</v>
      </c>
      <c r="AB23">
        <f t="shared" si="13"/>
        <v>0.08302949932015938</v>
      </c>
    </row>
    <row r="24" spans="1:28" ht="12.75">
      <c r="A24" t="s">
        <v>564</v>
      </c>
      <c r="B24" t="s">
        <v>312</v>
      </c>
      <c r="C24">
        <v>782</v>
      </c>
      <c r="D24">
        <v>3182</v>
      </c>
      <c r="E24" s="11">
        <f t="shared" si="22"/>
        <v>312.8</v>
      </c>
      <c r="F24" s="11">
        <f t="shared" si="14"/>
        <v>1272.8</v>
      </c>
      <c r="G24" s="237">
        <v>2944062</v>
      </c>
      <c r="H24" s="102">
        <f t="shared" si="20"/>
        <v>382728.06</v>
      </c>
      <c r="I24" s="168">
        <f t="shared" si="15"/>
        <v>1913640.3</v>
      </c>
      <c r="J24" s="27">
        <f t="shared" si="21"/>
        <v>698478709.5</v>
      </c>
      <c r="K24" s="168">
        <f t="shared" si="2"/>
        <v>7820000000</v>
      </c>
      <c r="L24" s="168">
        <f t="shared" si="3"/>
        <v>132126.72000000003</v>
      </c>
      <c r="M24" s="168">
        <f t="shared" si="4"/>
        <v>385810022.4000001</v>
      </c>
      <c r="N24" s="168">
        <f t="shared" si="5"/>
        <v>1847.0214400000002</v>
      </c>
      <c r="O24" s="168">
        <f t="shared" si="6"/>
        <v>14776.171520000002</v>
      </c>
      <c r="P24" s="221">
        <f t="shared" si="16"/>
        <v>5393302.604800001</v>
      </c>
      <c r="Q24" s="168">
        <f t="shared" si="7"/>
        <v>7429</v>
      </c>
      <c r="R24" s="168">
        <f t="shared" si="17"/>
        <v>2711585</v>
      </c>
      <c r="S24" s="168">
        <f t="shared" si="8"/>
        <v>52132664.22047245</v>
      </c>
      <c r="T24" s="168">
        <f t="shared" si="0"/>
        <v>625591970.6456693</v>
      </c>
      <c r="U24" s="168"/>
      <c r="V24" s="168">
        <f t="shared" si="9"/>
        <v>2405306880</v>
      </c>
      <c r="W24" s="168">
        <f t="shared" si="10"/>
        <v>183945168000</v>
      </c>
      <c r="X24" s="168">
        <f t="shared" si="11"/>
        <v>93840000</v>
      </c>
      <c r="Y24" s="168">
        <f t="shared" si="18"/>
        <v>188162300470.15048</v>
      </c>
      <c r="Z24" s="168">
        <f t="shared" si="12"/>
        <v>94081150235.07524</v>
      </c>
      <c r="AA24" s="168">
        <f t="shared" si="19"/>
        <v>23520287558.76881</v>
      </c>
      <c r="AB24">
        <f t="shared" si="13"/>
        <v>0.08311973206599418</v>
      </c>
    </row>
    <row r="25" spans="1:28" ht="12.75">
      <c r="A25" t="s">
        <v>565</v>
      </c>
      <c r="B25" t="s">
        <v>313</v>
      </c>
      <c r="C25">
        <v>970</v>
      </c>
      <c r="D25">
        <v>3749</v>
      </c>
      <c r="E25" s="11">
        <f t="shared" si="22"/>
        <v>388</v>
      </c>
      <c r="F25" s="11">
        <f t="shared" si="14"/>
        <v>1499.6</v>
      </c>
      <c r="G25" s="237">
        <v>2723507</v>
      </c>
      <c r="H25" s="102">
        <f t="shared" si="20"/>
        <v>354055.91000000003</v>
      </c>
      <c r="I25" s="168">
        <f t="shared" si="15"/>
        <v>1770279.5500000003</v>
      </c>
      <c r="J25" s="27">
        <f t="shared" si="21"/>
        <v>646152035.7500001</v>
      </c>
      <c r="K25" s="168">
        <f t="shared" si="2"/>
        <v>9700000000</v>
      </c>
      <c r="L25" s="168">
        <f t="shared" si="3"/>
        <v>163891.20000000004</v>
      </c>
      <c r="M25" s="168">
        <f t="shared" si="4"/>
        <v>478562304.0000001</v>
      </c>
      <c r="N25" s="168">
        <f t="shared" si="5"/>
        <v>2291.0624000000003</v>
      </c>
      <c r="O25" s="168">
        <f t="shared" si="6"/>
        <v>18328.499200000002</v>
      </c>
      <c r="P25" s="221">
        <f t="shared" si="16"/>
        <v>6689902.208000001</v>
      </c>
      <c r="Q25" s="168">
        <f t="shared" si="7"/>
        <v>9215</v>
      </c>
      <c r="R25" s="168">
        <f t="shared" si="17"/>
        <v>3363475</v>
      </c>
      <c r="S25" s="168">
        <f t="shared" si="8"/>
        <v>64665836.69291339</v>
      </c>
      <c r="T25" s="168">
        <f t="shared" si="0"/>
        <v>775990040.3149607</v>
      </c>
      <c r="U25" s="168"/>
      <c r="V25" s="168">
        <f t="shared" si="9"/>
        <v>2983564800</v>
      </c>
      <c r="W25" s="168">
        <f t="shared" si="10"/>
        <v>228167280000</v>
      </c>
      <c r="X25" s="168">
        <f t="shared" si="11"/>
        <v>116400000</v>
      </c>
      <c r="Y25" s="168">
        <f t="shared" si="18"/>
        <v>233178002557.27295</v>
      </c>
      <c r="Z25" s="168">
        <f t="shared" si="12"/>
        <v>116589001278.63647</v>
      </c>
      <c r="AA25" s="168">
        <f t="shared" si="19"/>
        <v>29147250319.65912</v>
      </c>
      <c r="AB25">
        <f t="shared" si="13"/>
        <v>0.08319824248959758</v>
      </c>
    </row>
    <row r="26" spans="1:28" ht="12.75">
      <c r="A26" t="s">
        <v>566</v>
      </c>
      <c r="B26" t="s">
        <v>314</v>
      </c>
      <c r="C26">
        <v>852</v>
      </c>
      <c r="D26">
        <v>2874</v>
      </c>
      <c r="E26" s="11">
        <f t="shared" si="22"/>
        <v>340.8</v>
      </c>
      <c r="F26" s="11">
        <f t="shared" si="14"/>
        <v>1149.6</v>
      </c>
      <c r="G26" s="237">
        <v>4117827</v>
      </c>
      <c r="H26" s="102">
        <f t="shared" si="20"/>
        <v>535317.51</v>
      </c>
      <c r="I26" s="168">
        <f t="shared" si="15"/>
        <v>2676587.55</v>
      </c>
      <c r="J26" s="27">
        <f t="shared" si="21"/>
        <v>976954455.7499999</v>
      </c>
      <c r="K26" s="168">
        <f t="shared" si="2"/>
        <v>8520000000</v>
      </c>
      <c r="L26" s="168">
        <f t="shared" si="3"/>
        <v>143953.92</v>
      </c>
      <c r="M26" s="168">
        <f t="shared" si="4"/>
        <v>420345446.40000004</v>
      </c>
      <c r="N26" s="168">
        <f t="shared" si="5"/>
        <v>2012.35584</v>
      </c>
      <c r="O26" s="168">
        <f t="shared" si="6"/>
        <v>16098.84672</v>
      </c>
      <c r="P26" s="221">
        <f t="shared" si="16"/>
        <v>5876079.0528</v>
      </c>
      <c r="Q26" s="168">
        <f t="shared" si="7"/>
        <v>8094</v>
      </c>
      <c r="R26" s="168">
        <f t="shared" si="17"/>
        <v>2954310</v>
      </c>
      <c r="S26" s="168">
        <f t="shared" si="8"/>
        <v>56799270.99212599</v>
      </c>
      <c r="T26" s="168">
        <f t="shared" si="0"/>
        <v>681591251.9055119</v>
      </c>
      <c r="U26" s="168"/>
      <c r="V26" s="168">
        <f t="shared" si="9"/>
        <v>2620615680</v>
      </c>
      <c r="W26" s="168">
        <f t="shared" si="10"/>
        <v>200410848000</v>
      </c>
      <c r="X26" s="168">
        <f t="shared" si="11"/>
        <v>102240000</v>
      </c>
      <c r="Y26" s="168">
        <f t="shared" si="18"/>
        <v>205221425223.1083</v>
      </c>
      <c r="Z26" s="168">
        <f t="shared" si="12"/>
        <v>102610712611.55415</v>
      </c>
      <c r="AA26" s="168">
        <f t="shared" si="19"/>
        <v>25652678152.88854</v>
      </c>
      <c r="AB26">
        <f t="shared" si="13"/>
        <v>0.08303226615581102</v>
      </c>
    </row>
    <row r="27" spans="1:28" ht="12.75">
      <c r="A27" t="s">
        <v>567</v>
      </c>
      <c r="B27" t="s">
        <v>315</v>
      </c>
      <c r="C27">
        <v>942</v>
      </c>
      <c r="D27">
        <v>2603</v>
      </c>
      <c r="E27" s="11">
        <f t="shared" si="22"/>
        <v>376.8</v>
      </c>
      <c r="F27" s="11">
        <f t="shared" si="14"/>
        <v>1041.2</v>
      </c>
      <c r="G27" s="237">
        <v>4496334</v>
      </c>
      <c r="H27" s="102">
        <f t="shared" si="20"/>
        <v>584523.42</v>
      </c>
      <c r="I27" s="168">
        <f t="shared" si="15"/>
        <v>2922617.1</v>
      </c>
      <c r="J27" s="27">
        <f t="shared" si="21"/>
        <v>1066755241.5</v>
      </c>
      <c r="K27" s="168">
        <f t="shared" si="2"/>
        <v>9420000000</v>
      </c>
      <c r="L27" s="168">
        <f t="shared" si="3"/>
        <v>159160.32000000004</v>
      </c>
      <c r="M27" s="168">
        <f t="shared" si="4"/>
        <v>464748134.4000001</v>
      </c>
      <c r="N27" s="168">
        <f t="shared" si="5"/>
        <v>2224.92864</v>
      </c>
      <c r="O27" s="168">
        <f t="shared" si="6"/>
        <v>17799.42912</v>
      </c>
      <c r="P27" s="221">
        <f t="shared" si="16"/>
        <v>6496791.6288</v>
      </c>
      <c r="Q27" s="168">
        <f t="shared" si="7"/>
        <v>8949</v>
      </c>
      <c r="R27" s="168">
        <f t="shared" si="17"/>
        <v>3266385</v>
      </c>
      <c r="S27" s="168">
        <f t="shared" si="8"/>
        <v>62799193.984251976</v>
      </c>
      <c r="T27" s="168">
        <f t="shared" si="0"/>
        <v>753590327.8110237</v>
      </c>
      <c r="U27" s="168"/>
      <c r="V27" s="168">
        <f t="shared" si="9"/>
        <v>2897441280</v>
      </c>
      <c r="W27" s="168">
        <f t="shared" si="10"/>
        <v>221581008000</v>
      </c>
      <c r="X27" s="168">
        <f t="shared" si="11"/>
        <v>113040000</v>
      </c>
      <c r="Y27" s="168">
        <f t="shared" si="18"/>
        <v>226886346160.3398</v>
      </c>
      <c r="Z27" s="168">
        <f t="shared" si="12"/>
        <v>113443173080.1699</v>
      </c>
      <c r="AA27" s="168">
        <f t="shared" si="19"/>
        <v>28360793270.042477</v>
      </c>
      <c r="AB27">
        <f t="shared" si="13"/>
        <v>0.08303716957337677</v>
      </c>
    </row>
    <row r="28" spans="1:28" ht="12.75">
      <c r="A28" t="s">
        <v>568</v>
      </c>
      <c r="B28" t="s">
        <v>316</v>
      </c>
      <c r="C28">
        <v>380</v>
      </c>
      <c r="D28">
        <v>1289</v>
      </c>
      <c r="E28" s="11">
        <f t="shared" si="22"/>
        <v>152</v>
      </c>
      <c r="F28" s="11">
        <f t="shared" si="14"/>
        <v>515.6</v>
      </c>
      <c r="G28" s="237">
        <v>1305728</v>
      </c>
      <c r="H28" s="102">
        <f t="shared" si="20"/>
        <v>169744.64</v>
      </c>
      <c r="I28" s="168">
        <f t="shared" si="15"/>
        <v>848723.2000000001</v>
      </c>
      <c r="J28" s="27">
        <f t="shared" si="21"/>
        <v>309783968</v>
      </c>
      <c r="K28" s="168">
        <f t="shared" si="2"/>
        <v>3800000000</v>
      </c>
      <c r="L28" s="168">
        <f t="shared" si="3"/>
        <v>64204.8</v>
      </c>
      <c r="M28" s="168">
        <f t="shared" si="4"/>
        <v>187478016</v>
      </c>
      <c r="N28" s="168">
        <f t="shared" si="5"/>
        <v>897.5296000000001</v>
      </c>
      <c r="O28" s="168">
        <f t="shared" si="6"/>
        <v>7180.236800000001</v>
      </c>
      <c r="P28" s="221">
        <f t="shared" si="16"/>
        <v>2620786.432</v>
      </c>
      <c r="Q28" s="168">
        <f t="shared" si="7"/>
        <v>3610</v>
      </c>
      <c r="R28" s="168">
        <f t="shared" si="17"/>
        <v>1317650</v>
      </c>
      <c r="S28" s="168">
        <f t="shared" si="8"/>
        <v>25333008.18897638</v>
      </c>
      <c r="T28" s="168">
        <f t="shared" si="0"/>
        <v>303996098.2677166</v>
      </c>
      <c r="U28" s="168"/>
      <c r="V28" s="168">
        <f t="shared" si="9"/>
        <v>1168819200</v>
      </c>
      <c r="W28" s="168">
        <f t="shared" si="10"/>
        <v>89385120000</v>
      </c>
      <c r="X28" s="168">
        <f t="shared" si="11"/>
        <v>45600000</v>
      </c>
      <c r="Y28" s="168">
        <f t="shared" si="18"/>
        <v>91404735718.69972</v>
      </c>
      <c r="Z28" s="168">
        <f t="shared" si="12"/>
        <v>45702367859.34986</v>
      </c>
      <c r="AA28" s="168">
        <f t="shared" si="19"/>
        <v>11425591964.837465</v>
      </c>
      <c r="AB28">
        <f t="shared" si="13"/>
        <v>0.08314667659440736</v>
      </c>
    </row>
    <row r="29" spans="1:28" ht="12.75">
      <c r="A29" t="s">
        <v>569</v>
      </c>
      <c r="B29" t="s">
        <v>317</v>
      </c>
      <c r="C29">
        <v>677</v>
      </c>
      <c r="D29">
        <v>1441</v>
      </c>
      <c r="E29" s="11">
        <f t="shared" si="22"/>
        <v>270.8</v>
      </c>
      <c r="F29" s="11">
        <f t="shared" si="14"/>
        <v>576.4</v>
      </c>
      <c r="G29" s="237">
        <v>5508909</v>
      </c>
      <c r="H29" s="102">
        <f t="shared" si="20"/>
        <v>716158.17</v>
      </c>
      <c r="I29" s="168">
        <f t="shared" si="15"/>
        <v>3580790.85</v>
      </c>
      <c r="J29" s="27">
        <f t="shared" si="21"/>
        <v>1306988660.25</v>
      </c>
      <c r="K29" s="168">
        <f t="shared" si="2"/>
        <v>6770000000</v>
      </c>
      <c r="L29" s="168">
        <f t="shared" si="3"/>
        <v>114385.92000000003</v>
      </c>
      <c r="M29" s="168">
        <f t="shared" si="4"/>
        <v>334006886.4000001</v>
      </c>
      <c r="N29" s="168">
        <f t="shared" si="5"/>
        <v>1599.01984</v>
      </c>
      <c r="O29" s="168">
        <f t="shared" si="6"/>
        <v>12792.15872</v>
      </c>
      <c r="P29" s="221">
        <f t="shared" si="16"/>
        <v>4669137.9328</v>
      </c>
      <c r="Q29" s="168">
        <f t="shared" si="7"/>
        <v>6431.5</v>
      </c>
      <c r="R29" s="168">
        <f t="shared" si="17"/>
        <v>2347497.5</v>
      </c>
      <c r="S29" s="168">
        <f t="shared" si="8"/>
        <v>45132754.06299213</v>
      </c>
      <c r="T29" s="168">
        <f t="shared" si="0"/>
        <v>541593048.7559056</v>
      </c>
      <c r="U29" s="168"/>
      <c r="V29" s="168">
        <f t="shared" si="9"/>
        <v>2082343680</v>
      </c>
      <c r="W29" s="168">
        <f t="shared" si="10"/>
        <v>159246648000</v>
      </c>
      <c r="X29" s="168">
        <f t="shared" si="11"/>
        <v>81240000</v>
      </c>
      <c r="Y29" s="168">
        <f t="shared" si="18"/>
        <v>163599836910.8387</v>
      </c>
      <c r="Z29" s="168">
        <f t="shared" si="12"/>
        <v>81799918455.41936</v>
      </c>
      <c r="AA29" s="168">
        <f t="shared" si="19"/>
        <v>20449979613.85484</v>
      </c>
      <c r="AB29">
        <f t="shared" si="13"/>
        <v>0.0827629186903117</v>
      </c>
    </row>
    <row r="30" spans="1:28" ht="12.75">
      <c r="A30" t="s">
        <v>570</v>
      </c>
      <c r="B30" t="s">
        <v>318</v>
      </c>
      <c r="C30">
        <v>772</v>
      </c>
      <c r="D30">
        <v>1964</v>
      </c>
      <c r="E30" s="11">
        <f t="shared" si="22"/>
        <v>308.8</v>
      </c>
      <c r="F30" s="11">
        <f t="shared" si="14"/>
        <v>785.6</v>
      </c>
      <c r="G30" s="237">
        <v>6433422</v>
      </c>
      <c r="H30" s="102">
        <f t="shared" si="20"/>
        <v>836344.86</v>
      </c>
      <c r="I30" s="168">
        <f t="shared" si="15"/>
        <v>4181724.3</v>
      </c>
      <c r="J30" s="27">
        <f t="shared" si="21"/>
        <v>1526329369.5</v>
      </c>
      <c r="K30" s="168">
        <f t="shared" si="2"/>
        <v>7720000000</v>
      </c>
      <c r="L30" s="168">
        <f t="shared" si="3"/>
        <v>130437.12000000002</v>
      </c>
      <c r="M30" s="168">
        <f t="shared" si="4"/>
        <v>380876390.4000001</v>
      </c>
      <c r="N30" s="168">
        <f t="shared" si="5"/>
        <v>1823.40224</v>
      </c>
      <c r="O30" s="168">
        <f t="shared" si="6"/>
        <v>14587.21792</v>
      </c>
      <c r="P30" s="221">
        <f t="shared" si="16"/>
        <v>5324334.5408</v>
      </c>
      <c r="Q30" s="168">
        <f t="shared" si="7"/>
        <v>7334</v>
      </c>
      <c r="R30" s="168">
        <f t="shared" si="17"/>
        <v>2676910</v>
      </c>
      <c r="S30" s="168">
        <f t="shared" si="8"/>
        <v>51466006.11023623</v>
      </c>
      <c r="T30" s="168">
        <f t="shared" si="0"/>
        <v>617592073.3228347</v>
      </c>
      <c r="U30" s="168"/>
      <c r="V30" s="168">
        <f t="shared" si="9"/>
        <v>2374548480</v>
      </c>
      <c r="W30" s="168">
        <f t="shared" si="10"/>
        <v>181592928000</v>
      </c>
      <c r="X30" s="168">
        <f t="shared" si="11"/>
        <v>92640000</v>
      </c>
      <c r="Y30" s="168">
        <f t="shared" si="18"/>
        <v>186592915557.76364</v>
      </c>
      <c r="Z30" s="168">
        <f t="shared" si="12"/>
        <v>93296457778.88182</v>
      </c>
      <c r="AA30" s="168">
        <f t="shared" si="19"/>
        <v>23324114444.720455</v>
      </c>
      <c r="AB30">
        <f t="shared" si="13"/>
        <v>0.0827469786505385</v>
      </c>
    </row>
    <row r="31" spans="1:28" s="11" customFormat="1" ht="12.75">
      <c r="A31" t="s">
        <v>571</v>
      </c>
      <c r="B31" s="11" t="s">
        <v>319</v>
      </c>
      <c r="C31" s="11">
        <v>1456</v>
      </c>
      <c r="D31" s="11">
        <v>4730</v>
      </c>
      <c r="E31" s="11">
        <f t="shared" si="22"/>
        <v>582.4</v>
      </c>
      <c r="F31" s="11">
        <f t="shared" si="14"/>
        <v>1892</v>
      </c>
      <c r="G31" s="237">
        <v>10079985</v>
      </c>
      <c r="H31" s="102">
        <f t="shared" si="20"/>
        <v>1310398.05</v>
      </c>
      <c r="I31" s="168">
        <f t="shared" si="15"/>
        <v>6551990.25</v>
      </c>
      <c r="J31" s="27">
        <f t="shared" si="21"/>
        <v>2391476441.25</v>
      </c>
      <c r="K31" s="167">
        <f t="shared" si="2"/>
        <v>14560000000</v>
      </c>
      <c r="L31" s="167">
        <f t="shared" si="3"/>
        <v>246005.76</v>
      </c>
      <c r="M31" s="167">
        <f t="shared" si="4"/>
        <v>718336819.2</v>
      </c>
      <c r="N31" s="167">
        <f t="shared" si="5"/>
        <v>3438.9555200000004</v>
      </c>
      <c r="O31" s="167">
        <f t="shared" si="6"/>
        <v>27511.644160000003</v>
      </c>
      <c r="P31" s="222">
        <f t="shared" si="16"/>
        <v>10041750.118400002</v>
      </c>
      <c r="Q31" s="167">
        <f t="shared" si="7"/>
        <v>13832</v>
      </c>
      <c r="R31" s="167">
        <f t="shared" si="17"/>
        <v>5048680</v>
      </c>
      <c r="S31" s="167">
        <f t="shared" si="8"/>
        <v>97065420.85039371</v>
      </c>
      <c r="T31" s="167">
        <f t="shared" si="0"/>
        <v>1164785050.2047246</v>
      </c>
      <c r="U31" s="167"/>
      <c r="V31" s="167">
        <f t="shared" si="9"/>
        <v>4478423040</v>
      </c>
      <c r="W31" s="167">
        <f t="shared" si="10"/>
        <v>342486144000</v>
      </c>
      <c r="X31" s="167">
        <f t="shared" si="11"/>
        <v>174720000</v>
      </c>
      <c r="Y31" s="168">
        <f t="shared" si="18"/>
        <v>351428975780.77313</v>
      </c>
      <c r="Z31" s="167">
        <f t="shared" si="12"/>
        <v>175714487890.38657</v>
      </c>
      <c r="AA31" s="168">
        <f t="shared" si="19"/>
        <v>43928621972.59664</v>
      </c>
      <c r="AB31" s="11">
        <f t="shared" si="13"/>
        <v>0.08286169327757854</v>
      </c>
    </row>
    <row r="32" spans="1:28" ht="12.75">
      <c r="A32" t="s">
        <v>572</v>
      </c>
      <c r="B32" t="s">
        <v>320</v>
      </c>
      <c r="C32">
        <v>1058</v>
      </c>
      <c r="D32">
        <v>3962</v>
      </c>
      <c r="E32" s="11">
        <f t="shared" si="22"/>
        <v>423.2</v>
      </c>
      <c r="F32" s="11">
        <f t="shared" si="14"/>
        <v>1584.8</v>
      </c>
      <c r="G32" s="237">
        <v>5059375</v>
      </c>
      <c r="H32" s="102">
        <f t="shared" si="20"/>
        <v>657718.75</v>
      </c>
      <c r="I32" s="168">
        <f t="shared" si="15"/>
        <v>3288593.75</v>
      </c>
      <c r="J32" s="27">
        <f t="shared" si="21"/>
        <v>1200336718.75</v>
      </c>
      <c r="K32" s="168">
        <f t="shared" si="2"/>
        <v>10580000000</v>
      </c>
      <c r="L32" s="168">
        <f t="shared" si="3"/>
        <v>178759.68000000002</v>
      </c>
      <c r="M32" s="168">
        <f t="shared" si="4"/>
        <v>521978265.6000001</v>
      </c>
      <c r="N32" s="168">
        <f t="shared" si="5"/>
        <v>2498.91136</v>
      </c>
      <c r="O32" s="168">
        <f t="shared" si="6"/>
        <v>19991.29088</v>
      </c>
      <c r="P32" s="221">
        <f t="shared" si="16"/>
        <v>7296821.1712</v>
      </c>
      <c r="Q32" s="168">
        <f t="shared" si="7"/>
        <v>10051</v>
      </c>
      <c r="R32" s="168">
        <f t="shared" si="17"/>
        <v>3668615</v>
      </c>
      <c r="S32" s="168">
        <f t="shared" si="8"/>
        <v>70532428.06299213</v>
      </c>
      <c r="T32" s="168">
        <f t="shared" si="0"/>
        <v>846389136.7559055</v>
      </c>
      <c r="U32" s="168"/>
      <c r="V32" s="168">
        <f t="shared" si="9"/>
        <v>3254238720</v>
      </c>
      <c r="W32" s="168">
        <f t="shared" si="10"/>
        <v>248866992000</v>
      </c>
      <c r="X32" s="168">
        <f t="shared" si="11"/>
        <v>126960000</v>
      </c>
      <c r="Y32" s="168">
        <f t="shared" si="18"/>
        <v>254827860277.2771</v>
      </c>
      <c r="Z32" s="168">
        <f t="shared" si="12"/>
        <v>127413930138.63855</v>
      </c>
      <c r="AA32" s="168">
        <f t="shared" si="19"/>
        <v>31853482534.659637</v>
      </c>
      <c r="AB32">
        <f t="shared" si="13"/>
        <v>0.08303644655249193</v>
      </c>
    </row>
    <row r="33" spans="1:28" s="11" customFormat="1" ht="12.75">
      <c r="A33" t="s">
        <v>573</v>
      </c>
      <c r="B33" s="11" t="s">
        <v>321</v>
      </c>
      <c r="C33" s="11">
        <v>721</v>
      </c>
      <c r="D33" s="11">
        <v>2609</v>
      </c>
      <c r="E33" s="11">
        <f t="shared" si="22"/>
        <v>288.4</v>
      </c>
      <c r="F33" s="11">
        <f t="shared" si="14"/>
        <v>1043.6</v>
      </c>
      <c r="G33" s="237">
        <v>2881281</v>
      </c>
      <c r="H33" s="102">
        <f t="shared" si="20"/>
        <v>374566.53</v>
      </c>
      <c r="I33" s="168">
        <f t="shared" si="15"/>
        <v>1872832.6500000001</v>
      </c>
      <c r="J33" s="27">
        <f t="shared" si="21"/>
        <v>683583917.25</v>
      </c>
      <c r="K33" s="167">
        <f t="shared" si="2"/>
        <v>7210000000</v>
      </c>
      <c r="L33" s="167">
        <f t="shared" si="3"/>
        <v>121820.16000000002</v>
      </c>
      <c r="M33" s="167">
        <f t="shared" si="4"/>
        <v>355714867.20000005</v>
      </c>
      <c r="N33" s="167">
        <f t="shared" si="5"/>
        <v>1702.9443199999998</v>
      </c>
      <c r="O33" s="167">
        <f t="shared" si="6"/>
        <v>13623.554559999999</v>
      </c>
      <c r="P33" s="222">
        <f t="shared" si="16"/>
        <v>4972597.414399999</v>
      </c>
      <c r="Q33" s="167">
        <f t="shared" si="7"/>
        <v>6849.5</v>
      </c>
      <c r="R33" s="167">
        <f t="shared" si="17"/>
        <v>2500067.5</v>
      </c>
      <c r="S33" s="167">
        <f t="shared" si="8"/>
        <v>48066049.7480315</v>
      </c>
      <c r="T33" s="167">
        <f t="shared" si="0"/>
        <v>576792596.976378</v>
      </c>
      <c r="U33" s="167"/>
      <c r="V33" s="167">
        <f t="shared" si="9"/>
        <v>2217680640</v>
      </c>
      <c r="W33" s="167">
        <f t="shared" si="10"/>
        <v>169596504000</v>
      </c>
      <c r="X33" s="167">
        <f t="shared" si="11"/>
        <v>86520000</v>
      </c>
      <c r="Y33" s="168">
        <f t="shared" si="18"/>
        <v>173524268686.3408</v>
      </c>
      <c r="Z33" s="167">
        <f t="shared" si="12"/>
        <v>86762134343.1704</v>
      </c>
      <c r="AA33" s="168">
        <f t="shared" si="19"/>
        <v>21690533585.7926</v>
      </c>
      <c r="AB33" s="11">
        <f t="shared" si="13"/>
        <v>0.08310076803184989</v>
      </c>
    </row>
    <row r="34" spans="1:28" ht="12.75">
      <c r="A34" t="s">
        <v>574</v>
      </c>
      <c r="B34" t="s">
        <v>322</v>
      </c>
      <c r="C34">
        <v>1469</v>
      </c>
      <c r="D34">
        <v>4383</v>
      </c>
      <c r="E34" s="11">
        <f t="shared" si="22"/>
        <v>587.6</v>
      </c>
      <c r="F34" s="11">
        <f t="shared" si="14"/>
        <v>1753.2</v>
      </c>
      <c r="G34" s="237">
        <v>5704484</v>
      </c>
      <c r="H34" s="102">
        <f t="shared" si="20"/>
        <v>741582.92</v>
      </c>
      <c r="I34" s="168">
        <f t="shared" si="15"/>
        <v>3707914.6</v>
      </c>
      <c r="J34" s="27">
        <f t="shared" si="21"/>
        <v>1353388829</v>
      </c>
      <c r="K34" s="168">
        <f t="shared" si="2"/>
        <v>14690000000</v>
      </c>
      <c r="L34" s="168">
        <f t="shared" si="3"/>
        <v>248202.24000000005</v>
      </c>
      <c r="M34" s="168">
        <f t="shared" si="4"/>
        <v>724750540.8000002</v>
      </c>
      <c r="N34" s="168">
        <f t="shared" si="5"/>
        <v>3469.6604800000005</v>
      </c>
      <c r="O34" s="168">
        <f t="shared" si="6"/>
        <v>27757.283840000004</v>
      </c>
      <c r="P34" s="221">
        <f t="shared" si="16"/>
        <v>10131408.6016</v>
      </c>
      <c r="Q34" s="168">
        <f t="shared" si="7"/>
        <v>13955.5</v>
      </c>
      <c r="R34" s="168">
        <f t="shared" si="17"/>
        <v>5093757.5</v>
      </c>
      <c r="S34" s="168">
        <f t="shared" si="8"/>
        <v>97932076.3937008</v>
      </c>
      <c r="T34" s="168">
        <f t="shared" si="0"/>
        <v>1175184916.7244096</v>
      </c>
      <c r="U34" s="168"/>
      <c r="V34" s="168">
        <f t="shared" si="9"/>
        <v>4518408960</v>
      </c>
      <c r="W34" s="168">
        <f t="shared" si="10"/>
        <v>345544056000</v>
      </c>
      <c r="X34" s="168">
        <f t="shared" si="11"/>
        <v>176280000</v>
      </c>
      <c r="Y34" s="168">
        <f t="shared" si="18"/>
        <v>353507294412.62604</v>
      </c>
      <c r="Z34" s="168">
        <f t="shared" si="12"/>
        <v>176753647206.31302</v>
      </c>
      <c r="AA34" s="168">
        <f t="shared" si="19"/>
        <v>44188411801.578255</v>
      </c>
      <c r="AB34">
        <f t="shared" si="13"/>
        <v>0.08311002478411843</v>
      </c>
    </row>
    <row r="35" spans="1:28" ht="12.75">
      <c r="A35" t="s">
        <v>575</v>
      </c>
      <c r="B35" t="s">
        <v>323</v>
      </c>
      <c r="C35">
        <v>1191</v>
      </c>
      <c r="D35">
        <v>3873</v>
      </c>
      <c r="E35" s="11">
        <f t="shared" si="22"/>
        <v>476.4</v>
      </c>
      <c r="F35" s="11">
        <f t="shared" si="14"/>
        <v>1549.2</v>
      </c>
      <c r="G35" s="237">
        <v>917621</v>
      </c>
      <c r="H35" s="102">
        <f t="shared" si="20"/>
        <v>119290.73000000001</v>
      </c>
      <c r="I35" s="168">
        <f t="shared" si="15"/>
        <v>596453.65</v>
      </c>
      <c r="J35" s="27">
        <f t="shared" si="21"/>
        <v>217705582.25</v>
      </c>
      <c r="K35" s="168">
        <f t="shared" si="2"/>
        <v>11910000000</v>
      </c>
      <c r="L35" s="168">
        <f t="shared" si="3"/>
        <v>201231.36000000002</v>
      </c>
      <c r="M35" s="168">
        <f t="shared" si="4"/>
        <v>587595571.2</v>
      </c>
      <c r="N35" s="168">
        <f t="shared" si="5"/>
        <v>2813.0467200000003</v>
      </c>
      <c r="O35" s="168">
        <f t="shared" si="6"/>
        <v>22504.373760000002</v>
      </c>
      <c r="P35" s="221">
        <f t="shared" si="16"/>
        <v>8214096.4224000005</v>
      </c>
      <c r="Q35" s="168">
        <f t="shared" si="7"/>
        <v>11314.5</v>
      </c>
      <c r="R35" s="168">
        <f t="shared" si="17"/>
        <v>4129792.5</v>
      </c>
      <c r="S35" s="168">
        <f t="shared" si="8"/>
        <v>79398980.92913386</v>
      </c>
      <c r="T35" s="168">
        <f t="shared" si="0"/>
        <v>952787771.1496063</v>
      </c>
      <c r="U35" s="168"/>
      <c r="V35" s="168">
        <f t="shared" si="9"/>
        <v>3663325440</v>
      </c>
      <c r="W35" s="168">
        <f t="shared" si="10"/>
        <v>280151784000</v>
      </c>
      <c r="X35" s="168">
        <f t="shared" si="11"/>
        <v>142920000</v>
      </c>
      <c r="Y35" s="168">
        <f t="shared" si="18"/>
        <v>285728462253.52203</v>
      </c>
      <c r="Z35" s="168">
        <f t="shared" si="12"/>
        <v>142864231126.76102</v>
      </c>
      <c r="AA35" s="168">
        <f t="shared" si="19"/>
        <v>35716057781.690254</v>
      </c>
      <c r="AB35">
        <f t="shared" si="13"/>
        <v>0.08336586356197485</v>
      </c>
    </row>
    <row r="36" spans="1:28" ht="12.75">
      <c r="A36" t="s">
        <v>576</v>
      </c>
      <c r="B36" t="s">
        <v>324</v>
      </c>
      <c r="C36">
        <v>499</v>
      </c>
      <c r="D36">
        <v>2974</v>
      </c>
      <c r="E36" s="11">
        <f t="shared" si="22"/>
        <v>199.6</v>
      </c>
      <c r="F36" s="11">
        <f t="shared" si="14"/>
        <v>1189.6</v>
      </c>
      <c r="G36" s="237">
        <v>1739291</v>
      </c>
      <c r="H36" s="102">
        <f t="shared" si="20"/>
        <v>226107.83000000002</v>
      </c>
      <c r="I36" s="168">
        <f t="shared" si="15"/>
        <v>1130539.1500000001</v>
      </c>
      <c r="J36" s="27">
        <f t="shared" si="21"/>
        <v>412646789.75000006</v>
      </c>
      <c r="K36" s="168">
        <f t="shared" si="2"/>
        <v>4990000000</v>
      </c>
      <c r="L36" s="168">
        <f t="shared" si="3"/>
        <v>84311.04000000001</v>
      </c>
      <c r="M36" s="168">
        <f t="shared" si="4"/>
        <v>246188236.8</v>
      </c>
      <c r="N36" s="168">
        <f t="shared" si="5"/>
        <v>1178.59808</v>
      </c>
      <c r="O36" s="168">
        <f t="shared" si="6"/>
        <v>9428.78464</v>
      </c>
      <c r="P36" s="221">
        <f t="shared" si="16"/>
        <v>3441506.3936</v>
      </c>
      <c r="Q36" s="168">
        <f t="shared" si="7"/>
        <v>4740.5</v>
      </c>
      <c r="R36" s="168">
        <f t="shared" si="17"/>
        <v>1730282.5</v>
      </c>
      <c r="S36" s="168">
        <f t="shared" si="8"/>
        <v>33266239.700787403</v>
      </c>
      <c r="T36" s="168">
        <f t="shared" si="0"/>
        <v>399194876.40944886</v>
      </c>
      <c r="U36" s="168"/>
      <c r="V36" s="168">
        <f t="shared" si="9"/>
        <v>1534844160</v>
      </c>
      <c r="W36" s="168">
        <f t="shared" si="10"/>
        <v>117376776000</v>
      </c>
      <c r="X36" s="168">
        <f t="shared" si="11"/>
        <v>59880000</v>
      </c>
      <c r="Y36" s="168">
        <f t="shared" si="18"/>
        <v>120034701851.85304</v>
      </c>
      <c r="Z36" s="168">
        <f t="shared" si="12"/>
        <v>60017350925.92652</v>
      </c>
      <c r="AA36" s="168">
        <f t="shared" si="19"/>
        <v>15004337731.48163</v>
      </c>
      <c r="AB36">
        <f t="shared" si="13"/>
        <v>0.08314262330836067</v>
      </c>
    </row>
    <row r="37" spans="1:28" ht="12.75">
      <c r="A37" t="s">
        <v>577</v>
      </c>
      <c r="B37" t="s">
        <v>325</v>
      </c>
      <c r="C37">
        <v>600</v>
      </c>
      <c r="D37">
        <v>2131</v>
      </c>
      <c r="E37" s="11">
        <f t="shared" si="22"/>
        <v>240</v>
      </c>
      <c r="F37" s="11">
        <f t="shared" si="14"/>
        <v>852.4</v>
      </c>
      <c r="G37" s="237">
        <v>2241154</v>
      </c>
      <c r="H37" s="102">
        <f t="shared" si="20"/>
        <v>291350.02</v>
      </c>
      <c r="I37" s="168">
        <f t="shared" si="15"/>
        <v>1456750.1</v>
      </c>
      <c r="J37" s="27">
        <f t="shared" si="21"/>
        <v>531713786.50000006</v>
      </c>
      <c r="K37" s="168">
        <f t="shared" si="2"/>
        <v>6000000000</v>
      </c>
      <c r="L37" s="168">
        <f t="shared" si="3"/>
        <v>101376.00000000001</v>
      </c>
      <c r="M37" s="168">
        <f t="shared" si="4"/>
        <v>296017920.00000006</v>
      </c>
      <c r="N37" s="168">
        <f t="shared" si="5"/>
        <v>1417.152</v>
      </c>
      <c r="O37" s="168">
        <f t="shared" si="6"/>
        <v>11337.216</v>
      </c>
      <c r="P37" s="221">
        <f t="shared" si="16"/>
        <v>4138083.8400000003</v>
      </c>
      <c r="Q37" s="168">
        <f t="shared" si="7"/>
        <v>5700</v>
      </c>
      <c r="R37" s="168">
        <f t="shared" si="17"/>
        <v>2080500</v>
      </c>
      <c r="S37" s="168">
        <f t="shared" si="8"/>
        <v>39999486.61417323</v>
      </c>
      <c r="T37" s="168">
        <f t="shared" si="0"/>
        <v>479993839.3700788</v>
      </c>
      <c r="U37" s="168"/>
      <c r="V37" s="168">
        <f t="shared" si="9"/>
        <v>1845504000</v>
      </c>
      <c r="W37" s="168">
        <f t="shared" si="10"/>
        <v>141134400000</v>
      </c>
      <c r="X37" s="168">
        <f t="shared" si="11"/>
        <v>72000000</v>
      </c>
      <c r="Y37" s="168">
        <f t="shared" si="18"/>
        <v>144365848129.71008</v>
      </c>
      <c r="Z37" s="168">
        <f t="shared" si="12"/>
        <v>72182924064.85504</v>
      </c>
      <c r="AA37" s="168">
        <f t="shared" si="19"/>
        <v>18045731016.21376</v>
      </c>
      <c r="AB37">
        <f t="shared" si="13"/>
        <v>0.08312215219501373</v>
      </c>
    </row>
    <row r="38" spans="1:28" ht="12.75">
      <c r="A38" t="s">
        <v>578</v>
      </c>
      <c r="B38" t="s">
        <v>326</v>
      </c>
      <c r="C38">
        <v>261</v>
      </c>
      <c r="D38">
        <v>799</v>
      </c>
      <c r="E38" s="11">
        <f t="shared" si="22"/>
        <v>104.4</v>
      </c>
      <c r="F38" s="11">
        <f t="shared" si="14"/>
        <v>319.6</v>
      </c>
      <c r="G38" s="237">
        <v>1287687</v>
      </c>
      <c r="H38" s="102">
        <f t="shared" si="20"/>
        <v>167399.31</v>
      </c>
      <c r="I38" s="168">
        <f t="shared" si="15"/>
        <v>836996.55</v>
      </c>
      <c r="J38" s="27">
        <f t="shared" si="21"/>
        <v>305503740.75</v>
      </c>
      <c r="K38" s="168">
        <f t="shared" si="2"/>
        <v>2610000000</v>
      </c>
      <c r="L38" s="168">
        <f t="shared" si="3"/>
        <v>44098.560000000005</v>
      </c>
      <c r="M38" s="168">
        <f t="shared" si="4"/>
        <v>128767795.20000002</v>
      </c>
      <c r="N38" s="168">
        <f t="shared" si="5"/>
        <v>616.4611199999999</v>
      </c>
      <c r="O38" s="168">
        <f t="shared" si="6"/>
        <v>4931.6889599999995</v>
      </c>
      <c r="P38" s="221">
        <f t="shared" si="16"/>
        <v>1800066.4703999998</v>
      </c>
      <c r="Q38" s="168">
        <f t="shared" si="7"/>
        <v>2479.5</v>
      </c>
      <c r="R38" s="168">
        <f t="shared" si="17"/>
        <v>905017.5</v>
      </c>
      <c r="S38" s="168">
        <f t="shared" si="8"/>
        <v>17399776.677165356</v>
      </c>
      <c r="T38" s="168">
        <f t="shared" si="0"/>
        <v>208797320.12598425</v>
      </c>
      <c r="U38" s="168"/>
      <c r="V38" s="168">
        <f t="shared" si="9"/>
        <v>802794240</v>
      </c>
      <c r="W38" s="168">
        <f t="shared" si="10"/>
        <v>61393464000</v>
      </c>
      <c r="X38" s="168">
        <f t="shared" si="11"/>
        <v>31320000</v>
      </c>
      <c r="Y38" s="168">
        <f t="shared" si="18"/>
        <v>62873352180.04639</v>
      </c>
      <c r="Z38" s="168">
        <f t="shared" si="12"/>
        <v>31436676090.023193</v>
      </c>
      <c r="AA38" s="168">
        <f t="shared" si="19"/>
        <v>7859169022.505798</v>
      </c>
      <c r="AB38">
        <f t="shared" si="13"/>
        <v>0.08302404467081413</v>
      </c>
    </row>
    <row r="39" spans="1:28" ht="12.75">
      <c r="A39" t="s">
        <v>579</v>
      </c>
      <c r="B39" t="s">
        <v>327</v>
      </c>
      <c r="C39">
        <v>743</v>
      </c>
      <c r="D39">
        <v>2069</v>
      </c>
      <c r="E39" s="11">
        <f t="shared" si="22"/>
        <v>297.2</v>
      </c>
      <c r="F39" s="11">
        <f t="shared" si="14"/>
        <v>827.6</v>
      </c>
      <c r="G39" s="237">
        <v>8638396</v>
      </c>
      <c r="H39" s="102">
        <f t="shared" si="20"/>
        <v>1122991.48</v>
      </c>
      <c r="I39" s="168">
        <f t="shared" si="15"/>
        <v>5614957.4</v>
      </c>
      <c r="J39" s="27">
        <f t="shared" si="21"/>
        <v>2049459451.0000002</v>
      </c>
      <c r="K39" s="168">
        <f t="shared" si="2"/>
        <v>7430000000</v>
      </c>
      <c r="L39" s="168">
        <f t="shared" si="3"/>
        <v>125537.28000000001</v>
      </c>
      <c r="M39" s="168">
        <f t="shared" si="4"/>
        <v>366568857.6</v>
      </c>
      <c r="N39" s="168">
        <f t="shared" si="5"/>
        <v>1754.90656</v>
      </c>
      <c r="O39" s="168">
        <f t="shared" si="6"/>
        <v>14039.25248</v>
      </c>
      <c r="P39" s="221">
        <f t="shared" si="16"/>
        <v>5124327.1552</v>
      </c>
      <c r="Q39" s="168">
        <f t="shared" si="7"/>
        <v>7058.5</v>
      </c>
      <c r="R39" s="168">
        <f t="shared" si="17"/>
        <v>2576352.5</v>
      </c>
      <c r="S39" s="168">
        <f t="shared" si="8"/>
        <v>49532697.59055118</v>
      </c>
      <c r="T39" s="168">
        <f t="shared" si="0"/>
        <v>594392371.0866141</v>
      </c>
      <c r="U39" s="168"/>
      <c r="V39" s="168">
        <f t="shared" si="9"/>
        <v>2285349120</v>
      </c>
      <c r="W39" s="168">
        <f t="shared" si="10"/>
        <v>174771432000</v>
      </c>
      <c r="X39" s="168">
        <f t="shared" si="11"/>
        <v>89160000</v>
      </c>
      <c r="Y39" s="168">
        <f t="shared" si="18"/>
        <v>180164062479.34183</v>
      </c>
      <c r="Z39" s="168">
        <f t="shared" si="12"/>
        <v>90082031239.67091</v>
      </c>
      <c r="AA39" s="168">
        <f t="shared" si="19"/>
        <v>22520507809.91773</v>
      </c>
      <c r="AB39">
        <f t="shared" si="13"/>
        <v>0.08248037813703216</v>
      </c>
    </row>
    <row r="40" spans="1:28" ht="12.75">
      <c r="A40" t="s">
        <v>580</v>
      </c>
      <c r="B40" t="s">
        <v>328</v>
      </c>
      <c r="C40">
        <v>1011</v>
      </c>
      <c r="D40">
        <v>2949</v>
      </c>
      <c r="E40" s="11">
        <f t="shared" si="22"/>
        <v>404.4</v>
      </c>
      <c r="F40" s="11">
        <f t="shared" si="14"/>
        <v>1179.6</v>
      </c>
      <c r="G40" s="237">
        <v>1874614</v>
      </c>
      <c r="H40" s="102">
        <f t="shared" si="20"/>
        <v>243699.82</v>
      </c>
      <c r="I40" s="168">
        <f t="shared" si="15"/>
        <v>1218499.1</v>
      </c>
      <c r="J40" s="27">
        <f t="shared" si="21"/>
        <v>444752171.50000006</v>
      </c>
      <c r="K40" s="168">
        <f t="shared" si="2"/>
        <v>10110000000</v>
      </c>
      <c r="L40" s="168">
        <f t="shared" si="3"/>
        <v>170818.56000000003</v>
      </c>
      <c r="M40" s="168">
        <f t="shared" si="4"/>
        <v>498790195.2000001</v>
      </c>
      <c r="N40" s="168">
        <f t="shared" si="5"/>
        <v>2387.90112</v>
      </c>
      <c r="O40" s="168">
        <f t="shared" si="6"/>
        <v>19103.20896</v>
      </c>
      <c r="P40" s="221">
        <f t="shared" si="16"/>
        <v>6972671.2704</v>
      </c>
      <c r="Q40" s="168">
        <f t="shared" si="7"/>
        <v>9604.5</v>
      </c>
      <c r="R40" s="168">
        <f t="shared" si="17"/>
        <v>3505642.5</v>
      </c>
      <c r="S40" s="168">
        <f t="shared" si="8"/>
        <v>67399134.9448819</v>
      </c>
      <c r="T40" s="168">
        <f aca="true" t="shared" si="23" ref="T40:T60">SUM(S40*12)</f>
        <v>808789619.3385828</v>
      </c>
      <c r="U40" s="168"/>
      <c r="V40" s="168">
        <f t="shared" si="9"/>
        <v>3109674240</v>
      </c>
      <c r="W40" s="168">
        <f t="shared" si="10"/>
        <v>237811464000</v>
      </c>
      <c r="X40" s="168">
        <f t="shared" si="11"/>
        <v>121320000</v>
      </c>
      <c r="Y40" s="168">
        <f t="shared" si="18"/>
        <v>242805268539.809</v>
      </c>
      <c r="Z40" s="168">
        <f t="shared" si="12"/>
        <v>121402634269.9045</v>
      </c>
      <c r="AA40" s="168">
        <f t="shared" si="19"/>
        <v>30350658567.476124</v>
      </c>
      <c r="AB40">
        <f t="shared" si="13"/>
        <v>0.0832766114244545</v>
      </c>
    </row>
    <row r="41" spans="1:28" ht="12.75">
      <c r="A41" t="s">
        <v>581</v>
      </c>
      <c r="B41" t="s">
        <v>329</v>
      </c>
      <c r="C41">
        <v>2354</v>
      </c>
      <c r="D41">
        <v>5144</v>
      </c>
      <c r="E41" s="11">
        <f t="shared" si="22"/>
        <v>941.6</v>
      </c>
      <c r="F41" s="11">
        <f t="shared" si="14"/>
        <v>2057.6</v>
      </c>
      <c r="G41" s="237">
        <v>19190115</v>
      </c>
      <c r="H41" s="102">
        <f t="shared" si="20"/>
        <v>2494714.95</v>
      </c>
      <c r="I41" s="168">
        <f t="shared" si="15"/>
        <v>12473574.75</v>
      </c>
      <c r="J41" s="27">
        <f t="shared" si="21"/>
        <v>4552854783.75</v>
      </c>
      <c r="K41" s="168">
        <f aca="true" t="shared" si="24" ref="K41:K60">SUM(C41*$K$8)</f>
        <v>23540000000</v>
      </c>
      <c r="L41" s="168">
        <f aca="true" t="shared" si="25" ref="L41:L60">SUM(C41*$L$8)*$L$4</f>
        <v>397731.8400000001</v>
      </c>
      <c r="M41" s="168">
        <f aca="true" t="shared" si="26" ref="M41:M60">SUM(L41*365)*8</f>
        <v>1161376972.8000002</v>
      </c>
      <c r="N41" s="168">
        <f aca="true" t="shared" si="27" ref="N41:N60">SUM($N$8*C41)*$N$4</f>
        <v>5559.95968</v>
      </c>
      <c r="O41" s="168">
        <f aca="true" t="shared" si="28" ref="O41:O60">SUM(N41*8)</f>
        <v>44479.67744</v>
      </c>
      <c r="P41" s="221">
        <f t="shared" si="16"/>
        <v>16235082.2656</v>
      </c>
      <c r="Q41" s="168">
        <f aca="true" t="shared" si="29" ref="Q41:Q60">SUM(C41*$Q$8)*$Q$4</f>
        <v>22363</v>
      </c>
      <c r="R41" s="168">
        <f t="shared" si="17"/>
        <v>8162495</v>
      </c>
      <c r="S41" s="168">
        <f aca="true" t="shared" si="30" ref="S41:S60">SUM(C41*$S$8)</f>
        <v>156931319.14960632</v>
      </c>
      <c r="T41" s="168">
        <f t="shared" si="23"/>
        <v>1883175829.7952757</v>
      </c>
      <c r="U41" s="168"/>
      <c r="V41" s="168">
        <f aca="true" t="shared" si="31" ref="V41:V60">SUM($V$8*C41)</f>
        <v>7240527360</v>
      </c>
      <c r="W41" s="168">
        <f aca="true" t="shared" si="32" ref="W41:W60">SUM(C41*$W$8)</f>
        <v>553717296000</v>
      </c>
      <c r="X41" s="168">
        <f aca="true" t="shared" si="33" ref="X41:X60">SUM(C41*$X$8)</f>
        <v>282480000</v>
      </c>
      <c r="Y41" s="168">
        <f t="shared" si="18"/>
        <v>568862108523.6108</v>
      </c>
      <c r="Z41" s="168">
        <f aca="true" t="shared" si="34" ref="Z41:Z61">SUM(Y41*$Z$6)</f>
        <v>284431054261.8054</v>
      </c>
      <c r="AA41" s="168">
        <f t="shared" si="19"/>
        <v>71107763565.45135</v>
      </c>
      <c r="AB41">
        <f aca="true" t="shared" si="35" ref="AB41:AB60">SUM(K41/Z41)</f>
        <v>0.08276170849591036</v>
      </c>
    </row>
    <row r="42" spans="1:28" s="11" customFormat="1" ht="12.75">
      <c r="A42" t="s">
        <v>582</v>
      </c>
      <c r="B42" s="11" t="s">
        <v>330</v>
      </c>
      <c r="C42" s="11">
        <v>1221</v>
      </c>
      <c r="D42" s="11">
        <v>3757</v>
      </c>
      <c r="E42" s="11">
        <f t="shared" si="22"/>
        <v>488.4</v>
      </c>
      <c r="F42" s="11">
        <f t="shared" si="14"/>
        <v>1502.8</v>
      </c>
      <c r="G42" s="237">
        <v>8407248</v>
      </c>
      <c r="H42" s="102">
        <f t="shared" si="20"/>
        <v>1092942.24</v>
      </c>
      <c r="I42" s="168">
        <f t="shared" si="15"/>
        <v>5464711.2</v>
      </c>
      <c r="J42" s="27">
        <f t="shared" si="21"/>
        <v>1994619588</v>
      </c>
      <c r="K42" s="167">
        <f t="shared" si="24"/>
        <v>12210000000</v>
      </c>
      <c r="L42" s="167">
        <f t="shared" si="25"/>
        <v>206300.16000000003</v>
      </c>
      <c r="M42" s="167">
        <f t="shared" si="26"/>
        <v>602396467.2</v>
      </c>
      <c r="N42" s="167">
        <f t="shared" si="27"/>
        <v>2883.90432</v>
      </c>
      <c r="O42" s="167">
        <f t="shared" si="28"/>
        <v>23071.23456</v>
      </c>
      <c r="P42" s="222">
        <f t="shared" si="16"/>
        <v>8421000.6144</v>
      </c>
      <c r="Q42" s="167">
        <f t="shared" si="29"/>
        <v>11599.5</v>
      </c>
      <c r="R42" s="167">
        <f t="shared" si="17"/>
        <v>4233817.5</v>
      </c>
      <c r="S42" s="167">
        <f t="shared" si="30"/>
        <v>81398955.25984253</v>
      </c>
      <c r="T42" s="167">
        <f t="shared" si="23"/>
        <v>976787463.1181104</v>
      </c>
      <c r="U42" s="167"/>
      <c r="V42" s="167">
        <f t="shared" si="31"/>
        <v>3755600640</v>
      </c>
      <c r="W42" s="167">
        <f t="shared" si="32"/>
        <v>287208504000</v>
      </c>
      <c r="X42" s="167">
        <f t="shared" si="33"/>
        <v>146520000</v>
      </c>
      <c r="Y42" s="168">
        <f t="shared" si="18"/>
        <v>294697082976.4325</v>
      </c>
      <c r="Z42" s="167">
        <f t="shared" si="34"/>
        <v>147348541488.21625</v>
      </c>
      <c r="AA42" s="168">
        <f t="shared" si="19"/>
        <v>36837135372.05406</v>
      </c>
      <c r="AB42" s="11">
        <f t="shared" si="35"/>
        <v>0.0828647496383699</v>
      </c>
    </row>
    <row r="43" spans="1:28" ht="12.75">
      <c r="A43" t="s">
        <v>583</v>
      </c>
      <c r="B43" t="s">
        <v>331</v>
      </c>
      <c r="C43">
        <v>572</v>
      </c>
      <c r="D43">
        <v>2723</v>
      </c>
      <c r="E43" s="11">
        <f t="shared" si="22"/>
        <v>228.8</v>
      </c>
      <c r="F43" s="11">
        <f t="shared" si="14"/>
        <v>1089.2</v>
      </c>
      <c r="G43" s="237">
        <v>633837</v>
      </c>
      <c r="H43" s="102">
        <f t="shared" si="20"/>
        <v>82398.81</v>
      </c>
      <c r="I43" s="168">
        <f t="shared" si="15"/>
        <v>411994.05</v>
      </c>
      <c r="J43" s="27">
        <f t="shared" si="21"/>
        <v>150377828.25</v>
      </c>
      <c r="K43" s="168">
        <f t="shared" si="24"/>
        <v>5720000000</v>
      </c>
      <c r="L43" s="168">
        <f t="shared" si="25"/>
        <v>96645.12000000001</v>
      </c>
      <c r="M43" s="168">
        <f t="shared" si="26"/>
        <v>282203750.40000004</v>
      </c>
      <c r="N43" s="168">
        <f t="shared" si="27"/>
        <v>1351.01824</v>
      </c>
      <c r="O43" s="168">
        <f t="shared" si="28"/>
        <v>10808.14592</v>
      </c>
      <c r="P43" s="221">
        <f t="shared" si="16"/>
        <v>3944973.2608000003</v>
      </c>
      <c r="Q43" s="168">
        <f t="shared" si="29"/>
        <v>5434</v>
      </c>
      <c r="R43" s="168">
        <f t="shared" si="17"/>
        <v>1983410</v>
      </c>
      <c r="S43" s="168">
        <f t="shared" si="30"/>
        <v>38132843.90551181</v>
      </c>
      <c r="T43" s="168">
        <f t="shared" si="23"/>
        <v>457594126.86614174</v>
      </c>
      <c r="U43" s="168"/>
      <c r="V43" s="168">
        <f t="shared" si="31"/>
        <v>1759380480</v>
      </c>
      <c r="W43" s="168">
        <f t="shared" si="32"/>
        <v>134548128000</v>
      </c>
      <c r="X43" s="168">
        <f t="shared" si="33"/>
        <v>68640000</v>
      </c>
      <c r="Y43" s="168">
        <f t="shared" si="18"/>
        <v>137272252568.77695</v>
      </c>
      <c r="Z43" s="168">
        <f t="shared" si="34"/>
        <v>68636126284.38847</v>
      </c>
      <c r="AA43" s="168">
        <f t="shared" si="19"/>
        <v>17159031571.097118</v>
      </c>
      <c r="AB43">
        <f t="shared" si="35"/>
        <v>0.08333803653632232</v>
      </c>
    </row>
    <row r="44" spans="1:28" s="109" customFormat="1" ht="12.75">
      <c r="A44" t="s">
        <v>584</v>
      </c>
      <c r="B44" s="109" t="s">
        <v>332</v>
      </c>
      <c r="C44" s="109">
        <v>1944</v>
      </c>
      <c r="D44" s="109">
        <v>4368</v>
      </c>
      <c r="E44" s="11">
        <f t="shared" si="22"/>
        <v>777.6</v>
      </c>
      <c r="F44" s="11">
        <f t="shared" si="14"/>
        <v>1747.2</v>
      </c>
      <c r="G44" s="237">
        <v>11435798</v>
      </c>
      <c r="H44" s="102">
        <f t="shared" si="20"/>
        <v>1486653.74</v>
      </c>
      <c r="I44" s="168">
        <f t="shared" si="15"/>
        <v>7433268.7</v>
      </c>
      <c r="J44" s="27">
        <f t="shared" si="21"/>
        <v>2713143075.5</v>
      </c>
      <c r="K44" s="168">
        <f t="shared" si="24"/>
        <v>19440000000</v>
      </c>
      <c r="L44" s="169">
        <f t="shared" si="25"/>
        <v>328458.24000000005</v>
      </c>
      <c r="M44" s="169">
        <f t="shared" si="26"/>
        <v>959098060.8000002</v>
      </c>
      <c r="N44" s="169">
        <f t="shared" si="27"/>
        <v>4591.57248</v>
      </c>
      <c r="O44" s="169">
        <f t="shared" si="28"/>
        <v>36732.57984</v>
      </c>
      <c r="P44" s="221">
        <f t="shared" si="16"/>
        <v>13407391.6416</v>
      </c>
      <c r="Q44" s="169">
        <f t="shared" si="29"/>
        <v>18468</v>
      </c>
      <c r="R44" s="168">
        <f t="shared" si="17"/>
        <v>6740820</v>
      </c>
      <c r="S44" s="169">
        <f t="shared" si="30"/>
        <v>129598336.62992127</v>
      </c>
      <c r="T44" s="169">
        <f t="shared" si="23"/>
        <v>1555180039.5590553</v>
      </c>
      <c r="U44" s="169"/>
      <c r="V44" s="168">
        <f t="shared" si="31"/>
        <v>5979432960</v>
      </c>
      <c r="W44" s="169">
        <f t="shared" si="32"/>
        <v>457275456000</v>
      </c>
      <c r="X44" s="169">
        <f t="shared" si="33"/>
        <v>233280000</v>
      </c>
      <c r="Y44" s="168">
        <f t="shared" si="18"/>
        <v>468735738347.5007</v>
      </c>
      <c r="Z44" s="169">
        <f t="shared" si="34"/>
        <v>234367869173.75034</v>
      </c>
      <c r="AA44" s="168">
        <f t="shared" si="19"/>
        <v>58591967293.437584</v>
      </c>
      <c r="AB44" s="109">
        <f t="shared" si="35"/>
        <v>0.0829465236362584</v>
      </c>
    </row>
    <row r="45" spans="1:28" ht="12.75">
      <c r="A45" t="s">
        <v>585</v>
      </c>
      <c r="B45" t="s">
        <v>333</v>
      </c>
      <c r="C45">
        <v>1065</v>
      </c>
      <c r="D45">
        <v>3338</v>
      </c>
      <c r="E45" s="11">
        <f t="shared" si="22"/>
        <v>426</v>
      </c>
      <c r="F45" s="11">
        <f t="shared" si="14"/>
        <v>1335.2</v>
      </c>
      <c r="G45" s="237">
        <v>3511532</v>
      </c>
      <c r="H45" s="102">
        <f t="shared" si="20"/>
        <v>456499.16000000003</v>
      </c>
      <c r="I45" s="168">
        <f t="shared" si="15"/>
        <v>2282495.8000000003</v>
      </c>
      <c r="J45" s="27">
        <f t="shared" si="21"/>
        <v>833110967.0000001</v>
      </c>
      <c r="K45" s="168">
        <f t="shared" si="24"/>
        <v>10650000000</v>
      </c>
      <c r="L45" s="168">
        <f t="shared" si="25"/>
        <v>179942.40000000002</v>
      </c>
      <c r="M45" s="168">
        <f t="shared" si="26"/>
        <v>525431808.00000006</v>
      </c>
      <c r="N45" s="168">
        <f t="shared" si="27"/>
        <v>2515.4448</v>
      </c>
      <c r="O45" s="168">
        <f t="shared" si="28"/>
        <v>20123.5584</v>
      </c>
      <c r="P45" s="221">
        <f t="shared" si="16"/>
        <v>7345098.816000001</v>
      </c>
      <c r="Q45" s="168">
        <f t="shared" si="29"/>
        <v>10117.5</v>
      </c>
      <c r="R45" s="168">
        <f t="shared" si="17"/>
        <v>3692887.5</v>
      </c>
      <c r="S45" s="168">
        <f t="shared" si="30"/>
        <v>70999088.74015749</v>
      </c>
      <c r="T45" s="168">
        <f t="shared" si="23"/>
        <v>851989064.8818898</v>
      </c>
      <c r="U45" s="168"/>
      <c r="V45" s="168">
        <f t="shared" si="31"/>
        <v>3275769600</v>
      </c>
      <c r="W45" s="168">
        <f t="shared" si="32"/>
        <v>250513560000</v>
      </c>
      <c r="X45" s="168">
        <f t="shared" si="33"/>
        <v>127800000</v>
      </c>
      <c r="Y45" s="168">
        <f t="shared" si="18"/>
        <v>256138699426.19788</v>
      </c>
      <c r="Z45" s="168">
        <f t="shared" si="34"/>
        <v>128069349713.09894</v>
      </c>
      <c r="AA45" s="168">
        <f t="shared" si="19"/>
        <v>32017337428.274734</v>
      </c>
      <c r="AB45">
        <f t="shared" si="35"/>
        <v>0.08315807040371595</v>
      </c>
    </row>
    <row r="46" spans="1:28" ht="12.75">
      <c r="A46" t="s">
        <v>586</v>
      </c>
      <c r="B46" t="s">
        <v>334</v>
      </c>
      <c r="C46">
        <v>778</v>
      </c>
      <c r="D46">
        <v>3751</v>
      </c>
      <c r="E46" s="11">
        <f t="shared" si="22"/>
        <v>311.2</v>
      </c>
      <c r="F46" s="11">
        <f t="shared" si="14"/>
        <v>1500.4</v>
      </c>
      <c r="G46" s="237">
        <v>3559596</v>
      </c>
      <c r="H46" s="102">
        <f t="shared" si="20"/>
        <v>462747.48000000004</v>
      </c>
      <c r="I46" s="168">
        <f t="shared" si="15"/>
        <v>2313737.4000000004</v>
      </c>
      <c r="J46" s="27">
        <f t="shared" si="21"/>
        <v>844514151.0000001</v>
      </c>
      <c r="K46" s="168">
        <f t="shared" si="24"/>
        <v>7780000000</v>
      </c>
      <c r="L46" s="168">
        <f t="shared" si="25"/>
        <v>131450.88</v>
      </c>
      <c r="M46" s="168">
        <f t="shared" si="26"/>
        <v>383836569.6</v>
      </c>
      <c r="N46" s="168">
        <f t="shared" si="27"/>
        <v>1837.5737600000002</v>
      </c>
      <c r="O46" s="168">
        <f t="shared" si="28"/>
        <v>14700.590080000002</v>
      </c>
      <c r="P46" s="221">
        <f t="shared" si="16"/>
        <v>5365715.3792</v>
      </c>
      <c r="Q46" s="168">
        <f t="shared" si="29"/>
        <v>7391</v>
      </c>
      <c r="R46" s="168">
        <f t="shared" si="17"/>
        <v>2697715</v>
      </c>
      <c r="S46" s="168">
        <f t="shared" si="30"/>
        <v>51866000.97637796</v>
      </c>
      <c r="T46" s="168">
        <f t="shared" si="23"/>
        <v>622392011.7165354</v>
      </c>
      <c r="U46" s="168"/>
      <c r="V46" s="168">
        <f t="shared" si="31"/>
        <v>2393003520</v>
      </c>
      <c r="W46" s="168">
        <f t="shared" si="32"/>
        <v>183004272000</v>
      </c>
      <c r="X46" s="168">
        <f t="shared" si="33"/>
        <v>93360000</v>
      </c>
      <c r="Y46" s="168">
        <f t="shared" si="18"/>
        <v>187349441682.69574</v>
      </c>
      <c r="Z46" s="168">
        <f t="shared" si="34"/>
        <v>93674720841.34787</v>
      </c>
      <c r="AA46" s="168">
        <f t="shared" si="19"/>
        <v>23418680210.336967</v>
      </c>
      <c r="AB46">
        <f t="shared" si="35"/>
        <v>0.08305335665933386</v>
      </c>
    </row>
    <row r="47" spans="1:28" ht="12.75">
      <c r="A47" t="s">
        <v>587</v>
      </c>
      <c r="B47" t="s">
        <v>335</v>
      </c>
      <c r="C47">
        <v>2215</v>
      </c>
      <c r="D47">
        <v>5450</v>
      </c>
      <c r="E47" s="11">
        <f t="shared" si="22"/>
        <v>886</v>
      </c>
      <c r="F47" s="11">
        <f t="shared" si="14"/>
        <v>2180</v>
      </c>
      <c r="G47" s="237">
        <v>12365455</v>
      </c>
      <c r="H47" s="102">
        <f t="shared" si="20"/>
        <v>1607509.1500000001</v>
      </c>
      <c r="I47" s="168">
        <f t="shared" si="15"/>
        <v>8037545.750000001</v>
      </c>
      <c r="J47" s="27">
        <f t="shared" si="21"/>
        <v>2933704198.7500005</v>
      </c>
      <c r="K47" s="168">
        <f t="shared" si="24"/>
        <v>22150000000</v>
      </c>
      <c r="L47" s="168">
        <f t="shared" si="25"/>
        <v>374246.4000000001</v>
      </c>
      <c r="M47" s="168">
        <f t="shared" si="26"/>
        <v>1092799488.0000002</v>
      </c>
      <c r="N47" s="168">
        <f t="shared" si="27"/>
        <v>5231.6528</v>
      </c>
      <c r="O47" s="168">
        <f t="shared" si="28"/>
        <v>41853.2224</v>
      </c>
      <c r="P47" s="221">
        <f t="shared" si="16"/>
        <v>15276426.175999999</v>
      </c>
      <c r="Q47" s="168">
        <f t="shared" si="29"/>
        <v>21042.5</v>
      </c>
      <c r="R47" s="168">
        <f t="shared" si="17"/>
        <v>7680512.5</v>
      </c>
      <c r="S47" s="168">
        <f t="shared" si="30"/>
        <v>147664771.41732284</v>
      </c>
      <c r="T47" s="168">
        <f t="shared" si="23"/>
        <v>1771977257.007874</v>
      </c>
      <c r="U47" s="168"/>
      <c r="V47" s="168">
        <f t="shared" si="31"/>
        <v>6812985600</v>
      </c>
      <c r="W47" s="168">
        <f t="shared" si="32"/>
        <v>521021160000</v>
      </c>
      <c r="X47" s="168">
        <f t="shared" si="33"/>
        <v>265800000</v>
      </c>
      <c r="Y47" s="168">
        <f t="shared" si="18"/>
        <v>533921383482.4339</v>
      </c>
      <c r="Z47" s="168">
        <f t="shared" si="34"/>
        <v>266960691741.21695</v>
      </c>
      <c r="AA47" s="168">
        <f t="shared" si="19"/>
        <v>66740172935.30424</v>
      </c>
      <c r="AB47">
        <f t="shared" si="35"/>
        <v>0.08297101665241223</v>
      </c>
    </row>
    <row r="48" spans="1:28" ht="12.75">
      <c r="A48" t="s">
        <v>588</v>
      </c>
      <c r="B48" t="s">
        <v>336</v>
      </c>
      <c r="C48">
        <v>136</v>
      </c>
      <c r="D48">
        <v>268</v>
      </c>
      <c r="E48" s="11">
        <f t="shared" si="22"/>
        <v>54.4</v>
      </c>
      <c r="F48" s="11">
        <f t="shared" si="14"/>
        <v>107.2</v>
      </c>
      <c r="G48" s="237">
        <v>1076164</v>
      </c>
      <c r="H48" s="102">
        <f t="shared" si="20"/>
        <v>139901.32</v>
      </c>
      <c r="I48" s="168">
        <f t="shared" si="15"/>
        <v>699506.6000000001</v>
      </c>
      <c r="J48" s="27">
        <f t="shared" si="21"/>
        <v>255319909.00000003</v>
      </c>
      <c r="K48" s="168">
        <f t="shared" si="24"/>
        <v>1360000000</v>
      </c>
      <c r="L48" s="168">
        <f t="shared" si="25"/>
        <v>22978.56</v>
      </c>
      <c r="M48" s="168">
        <f t="shared" si="26"/>
        <v>67097395.2</v>
      </c>
      <c r="N48" s="168">
        <f t="shared" si="27"/>
        <v>321.22112</v>
      </c>
      <c r="O48" s="168">
        <f t="shared" si="28"/>
        <v>2569.76896</v>
      </c>
      <c r="P48" s="221">
        <f t="shared" si="16"/>
        <v>937965.6704</v>
      </c>
      <c r="Q48" s="168">
        <f t="shared" si="29"/>
        <v>1292</v>
      </c>
      <c r="R48" s="168">
        <f t="shared" si="17"/>
        <v>471580</v>
      </c>
      <c r="S48" s="168">
        <f t="shared" si="30"/>
        <v>9066550.2992126</v>
      </c>
      <c r="T48" s="168">
        <f t="shared" si="23"/>
        <v>108798603.5905512</v>
      </c>
      <c r="U48" s="168"/>
      <c r="V48" s="168">
        <f t="shared" si="31"/>
        <v>418314240</v>
      </c>
      <c r="W48" s="168">
        <f t="shared" si="32"/>
        <v>31990464000</v>
      </c>
      <c r="X48" s="168">
        <f t="shared" si="33"/>
        <v>16320000</v>
      </c>
      <c r="Y48" s="168">
        <f t="shared" si="18"/>
        <v>32857723693.460953</v>
      </c>
      <c r="Z48" s="168">
        <f t="shared" si="34"/>
        <v>16428861846.730476</v>
      </c>
      <c r="AA48" s="168">
        <f t="shared" si="19"/>
        <v>4107215461.682619</v>
      </c>
      <c r="AB48">
        <f t="shared" si="35"/>
        <v>0.08278114532143654</v>
      </c>
    </row>
    <row r="49" spans="1:28" ht="12.75">
      <c r="A49" t="s">
        <v>589</v>
      </c>
      <c r="B49" t="s">
        <v>337</v>
      </c>
      <c r="C49">
        <v>890</v>
      </c>
      <c r="D49">
        <v>2622</v>
      </c>
      <c r="E49" s="11">
        <f t="shared" si="22"/>
        <v>356</v>
      </c>
      <c r="F49" s="11">
        <f t="shared" si="14"/>
        <v>1048.8</v>
      </c>
      <c r="G49" s="237">
        <v>4147152</v>
      </c>
      <c r="H49" s="102">
        <f t="shared" si="20"/>
        <v>539129.76</v>
      </c>
      <c r="I49" s="168">
        <f t="shared" si="15"/>
        <v>2695648.8</v>
      </c>
      <c r="J49" s="27">
        <f t="shared" si="21"/>
        <v>983911811.9999999</v>
      </c>
      <c r="K49" s="168">
        <f t="shared" si="24"/>
        <v>8900000000</v>
      </c>
      <c r="L49" s="168">
        <f t="shared" si="25"/>
        <v>150374.40000000002</v>
      </c>
      <c r="M49" s="168">
        <f t="shared" si="26"/>
        <v>439093248.00000006</v>
      </c>
      <c r="N49" s="168">
        <f t="shared" si="27"/>
        <v>2102.1088</v>
      </c>
      <c r="O49" s="168">
        <f t="shared" si="28"/>
        <v>16816.8704</v>
      </c>
      <c r="P49" s="221">
        <f t="shared" si="16"/>
        <v>6138157.6959999995</v>
      </c>
      <c r="Q49" s="168">
        <f t="shared" si="29"/>
        <v>8455</v>
      </c>
      <c r="R49" s="168">
        <f t="shared" si="17"/>
        <v>3086075</v>
      </c>
      <c r="S49" s="168">
        <f t="shared" si="30"/>
        <v>59332571.81102363</v>
      </c>
      <c r="T49" s="168">
        <f t="shared" si="23"/>
        <v>711990861.7322836</v>
      </c>
      <c r="U49" s="168"/>
      <c r="V49" s="168">
        <f t="shared" si="31"/>
        <v>2737497600</v>
      </c>
      <c r="W49" s="168">
        <f t="shared" si="32"/>
        <v>209349360000</v>
      </c>
      <c r="X49" s="168">
        <f t="shared" si="33"/>
        <v>106800000</v>
      </c>
      <c r="Y49" s="168">
        <f t="shared" si="18"/>
        <v>214337877754.42828</v>
      </c>
      <c r="Z49" s="168">
        <f t="shared" si="34"/>
        <v>107168938877.21414</v>
      </c>
      <c r="AA49" s="168">
        <f t="shared" si="19"/>
        <v>26792234719.303535</v>
      </c>
      <c r="AB49">
        <f t="shared" si="35"/>
        <v>0.08304645070897762</v>
      </c>
    </row>
    <row r="50" spans="1:28" ht="12.75">
      <c r="A50" t="s">
        <v>590</v>
      </c>
      <c r="B50" t="s">
        <v>338</v>
      </c>
      <c r="C50">
        <v>678</v>
      </c>
      <c r="D50">
        <v>2936</v>
      </c>
      <c r="E50" s="11">
        <f t="shared" si="22"/>
        <v>271.2</v>
      </c>
      <c r="F50" s="11">
        <f t="shared" si="14"/>
        <v>1174.4</v>
      </c>
      <c r="G50" s="237">
        <v>764309</v>
      </c>
      <c r="H50" s="102">
        <f t="shared" si="20"/>
        <v>99360.17</v>
      </c>
      <c r="I50" s="168">
        <f t="shared" si="15"/>
        <v>496800.85</v>
      </c>
      <c r="J50" s="27">
        <f t="shared" si="21"/>
        <v>181332310.25</v>
      </c>
      <c r="K50" s="168">
        <f t="shared" si="24"/>
        <v>6780000000</v>
      </c>
      <c r="L50" s="168">
        <f t="shared" si="25"/>
        <v>114554.88</v>
      </c>
      <c r="M50" s="168">
        <f t="shared" si="26"/>
        <v>334500249.6</v>
      </c>
      <c r="N50" s="168">
        <f t="shared" si="27"/>
        <v>1601.3817600000002</v>
      </c>
      <c r="O50" s="168">
        <f t="shared" si="28"/>
        <v>12811.054080000002</v>
      </c>
      <c r="P50" s="221">
        <f t="shared" si="16"/>
        <v>4676034.739200001</v>
      </c>
      <c r="Q50" s="168">
        <f t="shared" si="29"/>
        <v>6441</v>
      </c>
      <c r="R50" s="168">
        <f t="shared" si="17"/>
        <v>2350965</v>
      </c>
      <c r="S50" s="168">
        <f t="shared" si="30"/>
        <v>45199419.87401575</v>
      </c>
      <c r="T50" s="168">
        <f t="shared" si="23"/>
        <v>542393038.488189</v>
      </c>
      <c r="U50" s="168"/>
      <c r="V50" s="168">
        <f t="shared" si="31"/>
        <v>2085419520</v>
      </c>
      <c r="W50" s="168">
        <f t="shared" si="32"/>
        <v>159481872000</v>
      </c>
      <c r="X50" s="168">
        <f t="shared" si="33"/>
        <v>81360000</v>
      </c>
      <c r="Y50" s="168">
        <f t="shared" si="18"/>
        <v>162713904118.0774</v>
      </c>
      <c r="Z50" s="168">
        <f t="shared" si="34"/>
        <v>81356952059.0387</v>
      </c>
      <c r="AA50" s="168">
        <f t="shared" si="19"/>
        <v>20339238014.759674</v>
      </c>
      <c r="AB50">
        <f t="shared" si="35"/>
        <v>0.08333645531705668</v>
      </c>
    </row>
    <row r="51" spans="1:28" ht="12.75">
      <c r="A51" t="s">
        <v>591</v>
      </c>
      <c r="B51" t="s">
        <v>339</v>
      </c>
      <c r="C51">
        <v>1187</v>
      </c>
      <c r="D51">
        <v>3229</v>
      </c>
      <c r="E51" s="11">
        <f t="shared" si="22"/>
        <v>474.8</v>
      </c>
      <c r="F51" s="11">
        <f t="shared" si="14"/>
        <v>1291.6</v>
      </c>
      <c r="G51" s="237">
        <v>5841748</v>
      </c>
      <c r="H51" s="102">
        <f t="shared" si="20"/>
        <v>759427.24</v>
      </c>
      <c r="I51" s="168">
        <f t="shared" si="15"/>
        <v>3797136.2</v>
      </c>
      <c r="J51" s="27">
        <f t="shared" si="21"/>
        <v>1385954713</v>
      </c>
      <c r="K51" s="168">
        <f t="shared" si="24"/>
        <v>11870000000</v>
      </c>
      <c r="L51" s="168">
        <f t="shared" si="25"/>
        <v>200555.52000000002</v>
      </c>
      <c r="M51" s="168">
        <f t="shared" si="26"/>
        <v>585622118.4000001</v>
      </c>
      <c r="N51" s="168">
        <f t="shared" si="27"/>
        <v>2803.59904</v>
      </c>
      <c r="O51" s="168">
        <f t="shared" si="28"/>
        <v>22428.79232</v>
      </c>
      <c r="P51" s="221">
        <f t="shared" si="16"/>
        <v>8186509.1968</v>
      </c>
      <c r="Q51" s="168">
        <f t="shared" si="29"/>
        <v>11276.5</v>
      </c>
      <c r="R51" s="168">
        <f t="shared" si="17"/>
        <v>4115922.5</v>
      </c>
      <c r="S51" s="168">
        <f t="shared" si="30"/>
        <v>79132317.68503937</v>
      </c>
      <c r="T51" s="168">
        <f t="shared" si="23"/>
        <v>949587812.2204725</v>
      </c>
      <c r="U51" s="168"/>
      <c r="V51" s="168">
        <f t="shared" si="31"/>
        <v>3651022080</v>
      </c>
      <c r="W51" s="168">
        <f t="shared" si="32"/>
        <v>279210888000</v>
      </c>
      <c r="X51" s="168">
        <f t="shared" si="33"/>
        <v>142440000</v>
      </c>
      <c r="Y51" s="168">
        <f t="shared" si="18"/>
        <v>285937817155.31726</v>
      </c>
      <c r="Z51" s="168">
        <f t="shared" si="34"/>
        <v>142968908577.65863</v>
      </c>
      <c r="AA51" s="168">
        <f t="shared" si="19"/>
        <v>35742227144.41466</v>
      </c>
      <c r="AB51">
        <f t="shared" si="35"/>
        <v>0.08302504452254658</v>
      </c>
    </row>
    <row r="52" spans="1:28" s="11" customFormat="1" ht="12.75">
      <c r="A52" t="s">
        <v>592</v>
      </c>
      <c r="B52" s="11" t="s">
        <v>340</v>
      </c>
      <c r="C52" s="11">
        <v>4269</v>
      </c>
      <c r="D52" s="11">
        <v>13361</v>
      </c>
      <c r="E52" s="11">
        <f t="shared" si="22"/>
        <v>1707.6</v>
      </c>
      <c r="F52" s="11">
        <f t="shared" si="14"/>
        <v>5344.4</v>
      </c>
      <c r="G52" s="237">
        <v>22118509</v>
      </c>
      <c r="H52" s="102">
        <f t="shared" si="20"/>
        <v>2875406.17</v>
      </c>
      <c r="I52" s="168">
        <f t="shared" si="15"/>
        <v>14377030.85</v>
      </c>
      <c r="J52" s="27">
        <f t="shared" si="21"/>
        <v>5247616260.25</v>
      </c>
      <c r="K52" s="167">
        <f t="shared" si="24"/>
        <v>42690000000</v>
      </c>
      <c r="L52" s="167">
        <f t="shared" si="25"/>
        <v>721290.2400000001</v>
      </c>
      <c r="M52" s="167">
        <f t="shared" si="26"/>
        <v>2106167500.8000004</v>
      </c>
      <c r="N52" s="167">
        <f t="shared" si="27"/>
        <v>10083.03648</v>
      </c>
      <c r="O52" s="167">
        <f t="shared" si="28"/>
        <v>80664.29184</v>
      </c>
      <c r="P52" s="222">
        <f t="shared" si="16"/>
        <v>29442466.5216</v>
      </c>
      <c r="Q52" s="167">
        <f t="shared" si="29"/>
        <v>40555.5</v>
      </c>
      <c r="R52" s="167">
        <f t="shared" si="17"/>
        <v>14802757.5</v>
      </c>
      <c r="S52" s="167">
        <f t="shared" si="30"/>
        <v>284596347.2598425</v>
      </c>
      <c r="T52" s="167">
        <f t="shared" si="23"/>
        <v>3415156167.11811</v>
      </c>
      <c r="U52" s="167"/>
      <c r="V52" s="167">
        <f t="shared" si="31"/>
        <v>13130760960</v>
      </c>
      <c r="W52" s="167">
        <f t="shared" si="32"/>
        <v>1004171256000</v>
      </c>
      <c r="X52" s="167">
        <f t="shared" si="33"/>
        <v>512280000</v>
      </c>
      <c r="Y52" s="168">
        <f t="shared" si="18"/>
        <v>1028627482112.1897</v>
      </c>
      <c r="Z52" s="167">
        <f t="shared" si="34"/>
        <v>514313741056.09485</v>
      </c>
      <c r="AA52" s="168">
        <f t="shared" si="19"/>
        <v>128578435264.02371</v>
      </c>
      <c r="AB52" s="11">
        <f t="shared" si="35"/>
        <v>0.08300380991637538</v>
      </c>
    </row>
    <row r="53" spans="1:28" ht="12.75">
      <c r="A53" t="s">
        <v>593</v>
      </c>
      <c r="B53" t="s">
        <v>341</v>
      </c>
      <c r="C53">
        <v>946</v>
      </c>
      <c r="D53">
        <v>2173</v>
      </c>
      <c r="E53" s="11">
        <f t="shared" si="22"/>
        <v>378.4</v>
      </c>
      <c r="F53" s="11">
        <f t="shared" si="14"/>
        <v>869.2</v>
      </c>
      <c r="G53" s="237">
        <v>2351467</v>
      </c>
      <c r="H53" s="102">
        <f t="shared" si="20"/>
        <v>305690.71</v>
      </c>
      <c r="I53" s="168">
        <f t="shared" si="15"/>
        <v>1528453.55</v>
      </c>
      <c r="J53" s="27">
        <f t="shared" si="21"/>
        <v>557885545.75</v>
      </c>
      <c r="K53" s="168">
        <f t="shared" si="24"/>
        <v>9460000000</v>
      </c>
      <c r="L53" s="168">
        <f t="shared" si="25"/>
        <v>159836.16000000003</v>
      </c>
      <c r="M53" s="168">
        <f t="shared" si="26"/>
        <v>466721587.2000001</v>
      </c>
      <c r="N53" s="168">
        <f t="shared" si="27"/>
        <v>2234.37632</v>
      </c>
      <c r="O53" s="168">
        <f t="shared" si="28"/>
        <v>17875.01056</v>
      </c>
      <c r="P53" s="221">
        <f t="shared" si="16"/>
        <v>6524378.8544</v>
      </c>
      <c r="Q53" s="168">
        <f t="shared" si="29"/>
        <v>8987</v>
      </c>
      <c r="R53" s="168">
        <f t="shared" si="17"/>
        <v>3280255</v>
      </c>
      <c r="S53" s="168">
        <f t="shared" si="30"/>
        <v>63065857.22834646</v>
      </c>
      <c r="T53" s="168">
        <f t="shared" si="23"/>
        <v>756790286.7401575</v>
      </c>
      <c r="U53" s="168"/>
      <c r="V53" s="168">
        <f t="shared" si="31"/>
        <v>2909744640</v>
      </c>
      <c r="W53" s="168">
        <f t="shared" si="32"/>
        <v>222521904000</v>
      </c>
      <c r="X53" s="168">
        <f t="shared" si="33"/>
        <v>113520000</v>
      </c>
      <c r="Y53" s="168">
        <f t="shared" si="18"/>
        <v>227336370693.54456</v>
      </c>
      <c r="Z53" s="168">
        <f t="shared" si="34"/>
        <v>113668185346.77228</v>
      </c>
      <c r="AA53" s="168">
        <f t="shared" si="19"/>
        <v>28417046336.69307</v>
      </c>
      <c r="AB53">
        <f t="shared" si="35"/>
        <v>0.08322469450128005</v>
      </c>
    </row>
    <row r="54" spans="1:28" ht="12.75">
      <c r="A54" t="s">
        <v>594</v>
      </c>
      <c r="B54" t="s">
        <v>342</v>
      </c>
      <c r="C54">
        <v>328</v>
      </c>
      <c r="D54">
        <v>691</v>
      </c>
      <c r="E54" s="11">
        <f t="shared" si="22"/>
        <v>131.2</v>
      </c>
      <c r="F54" s="11">
        <f t="shared" si="14"/>
        <v>276.4</v>
      </c>
      <c r="G54" s="237">
        <v>619107</v>
      </c>
      <c r="H54" s="102">
        <f t="shared" si="20"/>
        <v>80483.91</v>
      </c>
      <c r="I54" s="168">
        <f t="shared" si="15"/>
        <v>402419.55000000005</v>
      </c>
      <c r="J54" s="27">
        <f t="shared" si="21"/>
        <v>146883135.75000003</v>
      </c>
      <c r="K54" s="168">
        <f t="shared" si="24"/>
        <v>3280000000</v>
      </c>
      <c r="L54" s="168">
        <f t="shared" si="25"/>
        <v>55418.880000000005</v>
      </c>
      <c r="M54" s="168">
        <f t="shared" si="26"/>
        <v>161823129.60000002</v>
      </c>
      <c r="N54" s="168">
        <f t="shared" si="27"/>
        <v>774.7097600000001</v>
      </c>
      <c r="O54" s="168">
        <f t="shared" si="28"/>
        <v>6197.678080000001</v>
      </c>
      <c r="P54" s="221">
        <f t="shared" si="16"/>
        <v>2262152.4992000004</v>
      </c>
      <c r="Q54" s="168">
        <f t="shared" si="29"/>
        <v>3116</v>
      </c>
      <c r="R54" s="168">
        <f t="shared" si="17"/>
        <v>1137340</v>
      </c>
      <c r="S54" s="168">
        <f t="shared" si="30"/>
        <v>21866386.01574803</v>
      </c>
      <c r="T54" s="168">
        <f t="shared" si="23"/>
        <v>262396632.18897638</v>
      </c>
      <c r="U54" s="168"/>
      <c r="V54" s="168">
        <f t="shared" si="31"/>
        <v>1008875520</v>
      </c>
      <c r="W54" s="168">
        <f t="shared" si="32"/>
        <v>77153472000</v>
      </c>
      <c r="X54" s="168">
        <f t="shared" si="33"/>
        <v>39360000</v>
      </c>
      <c r="Y54" s="168">
        <f t="shared" si="18"/>
        <v>78776209910.03818</v>
      </c>
      <c r="Z54" s="168">
        <f t="shared" si="34"/>
        <v>39388104955.01909</v>
      </c>
      <c r="AA54" s="168">
        <f t="shared" si="19"/>
        <v>9847026238.754772</v>
      </c>
      <c r="AB54">
        <f t="shared" si="35"/>
        <v>0.0832738717373109</v>
      </c>
    </row>
    <row r="55" spans="1:28" ht="12.75">
      <c r="A55" t="s">
        <v>595</v>
      </c>
      <c r="B55" t="s">
        <v>343</v>
      </c>
      <c r="C55">
        <v>1333</v>
      </c>
      <c r="D55">
        <v>3471</v>
      </c>
      <c r="E55" s="11">
        <f t="shared" si="22"/>
        <v>533.2</v>
      </c>
      <c r="F55" s="11">
        <f t="shared" si="14"/>
        <v>1388.4</v>
      </c>
      <c r="G55" s="237">
        <v>7386330</v>
      </c>
      <c r="H55" s="102">
        <f t="shared" si="20"/>
        <v>960222.9</v>
      </c>
      <c r="I55" s="168">
        <f t="shared" si="15"/>
        <v>4801114.5</v>
      </c>
      <c r="J55" s="27">
        <f t="shared" si="21"/>
        <v>1752406792.5</v>
      </c>
      <c r="K55" s="168">
        <f t="shared" si="24"/>
        <v>13330000000</v>
      </c>
      <c r="L55" s="168">
        <f t="shared" si="25"/>
        <v>225223.68000000005</v>
      </c>
      <c r="M55" s="168">
        <f t="shared" si="26"/>
        <v>657653145.6000001</v>
      </c>
      <c r="N55" s="168">
        <f t="shared" si="27"/>
        <v>3148.4393600000003</v>
      </c>
      <c r="O55" s="168">
        <f t="shared" si="28"/>
        <v>25187.514880000002</v>
      </c>
      <c r="P55" s="221">
        <f t="shared" si="16"/>
        <v>9193442.931200001</v>
      </c>
      <c r="Q55" s="168">
        <f t="shared" si="29"/>
        <v>12663.5</v>
      </c>
      <c r="R55" s="168">
        <f t="shared" si="17"/>
        <v>4622177.5</v>
      </c>
      <c r="S55" s="168">
        <f t="shared" si="30"/>
        <v>88865526.0944882</v>
      </c>
      <c r="T55" s="168">
        <f t="shared" si="23"/>
        <v>1066386313.1338584</v>
      </c>
      <c r="U55" s="168"/>
      <c r="V55" s="168">
        <f t="shared" si="31"/>
        <v>4100094720</v>
      </c>
      <c r="W55" s="168">
        <f t="shared" si="32"/>
        <v>313553592000</v>
      </c>
      <c r="X55" s="168">
        <f t="shared" si="33"/>
        <v>159960000</v>
      </c>
      <c r="Y55" s="168">
        <f t="shared" si="18"/>
        <v>321303908591.66504</v>
      </c>
      <c r="Z55" s="168">
        <f t="shared" si="34"/>
        <v>160651954295.83252</v>
      </c>
      <c r="AA55" s="168">
        <f t="shared" si="19"/>
        <v>40162988573.95813</v>
      </c>
      <c r="AB55">
        <f t="shared" si="35"/>
        <v>0.08297440300946152</v>
      </c>
    </row>
    <row r="56" spans="1:28" ht="12.75">
      <c r="A56" t="s">
        <v>596</v>
      </c>
      <c r="B56" t="s">
        <v>344</v>
      </c>
      <c r="C56">
        <v>1014</v>
      </c>
      <c r="D56">
        <v>3483</v>
      </c>
      <c r="E56" s="11">
        <f t="shared" si="22"/>
        <v>405.6</v>
      </c>
      <c r="F56" s="11">
        <f t="shared" si="14"/>
        <v>1393.2</v>
      </c>
      <c r="G56" s="237">
        <v>6131445</v>
      </c>
      <c r="H56" s="102">
        <f t="shared" si="20"/>
        <v>797087.85</v>
      </c>
      <c r="I56" s="168">
        <f t="shared" si="15"/>
        <v>3985439.25</v>
      </c>
      <c r="J56" s="27">
        <f t="shared" si="21"/>
        <v>1454685326.25</v>
      </c>
      <c r="K56" s="168">
        <f t="shared" si="24"/>
        <v>10140000000</v>
      </c>
      <c r="L56" s="168">
        <f t="shared" si="25"/>
        <v>171325.44000000003</v>
      </c>
      <c r="M56" s="168">
        <f t="shared" si="26"/>
        <v>500270284.8000001</v>
      </c>
      <c r="N56" s="168">
        <f t="shared" si="27"/>
        <v>2394.98688</v>
      </c>
      <c r="O56" s="168">
        <f t="shared" si="28"/>
        <v>19159.89504</v>
      </c>
      <c r="P56" s="221">
        <f t="shared" si="16"/>
        <v>6993361.6896</v>
      </c>
      <c r="Q56" s="168">
        <f t="shared" si="29"/>
        <v>9633</v>
      </c>
      <c r="R56" s="168">
        <f t="shared" si="17"/>
        <v>3516045</v>
      </c>
      <c r="S56" s="168">
        <f t="shared" si="30"/>
        <v>67599132.37795275</v>
      </c>
      <c r="T56" s="168">
        <f t="shared" si="23"/>
        <v>811189588.535433</v>
      </c>
      <c r="U56" s="168"/>
      <c r="V56" s="168">
        <f t="shared" si="31"/>
        <v>3118901760</v>
      </c>
      <c r="W56" s="168">
        <f t="shared" si="32"/>
        <v>238517136000</v>
      </c>
      <c r="X56" s="168">
        <f t="shared" si="33"/>
        <v>121680000</v>
      </c>
      <c r="Y56" s="168">
        <f t="shared" si="18"/>
        <v>244534372366.27502</v>
      </c>
      <c r="Z56" s="168">
        <f t="shared" si="34"/>
        <v>122267186183.13751</v>
      </c>
      <c r="AA56" s="168">
        <f t="shared" si="19"/>
        <v>30566796545.784378</v>
      </c>
      <c r="AB56">
        <f t="shared" si="35"/>
        <v>0.08293312634848596</v>
      </c>
    </row>
    <row r="57" spans="1:28" ht="12.75">
      <c r="A57" t="s">
        <v>597</v>
      </c>
      <c r="B57" t="s">
        <v>345</v>
      </c>
      <c r="C57">
        <v>558</v>
      </c>
      <c r="D57">
        <v>1744</v>
      </c>
      <c r="E57" s="11">
        <f t="shared" si="22"/>
        <v>223.2</v>
      </c>
      <c r="F57" s="11">
        <f t="shared" si="14"/>
        <v>697.6</v>
      </c>
      <c r="G57" s="237">
        <v>1810354</v>
      </c>
      <c r="H57" s="102">
        <f t="shared" si="20"/>
        <v>235346.02000000002</v>
      </c>
      <c r="I57" s="168">
        <f t="shared" si="15"/>
        <v>1176730.1</v>
      </c>
      <c r="J57" s="27">
        <f t="shared" si="21"/>
        <v>429506486.50000006</v>
      </c>
      <c r="K57" s="168">
        <f t="shared" si="24"/>
        <v>5580000000</v>
      </c>
      <c r="L57" s="168">
        <f t="shared" si="25"/>
        <v>94279.68000000001</v>
      </c>
      <c r="M57" s="168">
        <f t="shared" si="26"/>
        <v>275296665.6</v>
      </c>
      <c r="N57" s="168">
        <f t="shared" si="27"/>
        <v>1317.95136</v>
      </c>
      <c r="O57" s="168">
        <f t="shared" si="28"/>
        <v>10543.61088</v>
      </c>
      <c r="P57" s="221">
        <f t="shared" si="16"/>
        <v>3848417.9712</v>
      </c>
      <c r="Q57" s="168">
        <f t="shared" si="29"/>
        <v>5301</v>
      </c>
      <c r="R57" s="168">
        <f t="shared" si="17"/>
        <v>1934865</v>
      </c>
      <c r="S57" s="168">
        <f t="shared" si="30"/>
        <v>37199522.55118111</v>
      </c>
      <c r="T57" s="168">
        <f t="shared" si="23"/>
        <v>446394270.6141733</v>
      </c>
      <c r="U57" s="168"/>
      <c r="V57" s="168">
        <f t="shared" si="31"/>
        <v>1716318720</v>
      </c>
      <c r="W57" s="168">
        <f t="shared" si="32"/>
        <v>131254992000</v>
      </c>
      <c r="X57" s="168">
        <f t="shared" si="33"/>
        <v>66960000</v>
      </c>
      <c r="Y57" s="168">
        <f t="shared" si="18"/>
        <v>134195251425.68538</v>
      </c>
      <c r="Z57" s="168">
        <f t="shared" si="34"/>
        <v>67097625712.84269</v>
      </c>
      <c r="AA57" s="168">
        <f t="shared" si="19"/>
        <v>16774406428.210672</v>
      </c>
      <c r="AB57">
        <f t="shared" si="35"/>
        <v>0.0831624061316371</v>
      </c>
    </row>
    <row r="58" spans="1:28" ht="12.75">
      <c r="A58" t="s">
        <v>598</v>
      </c>
      <c r="B58" t="s">
        <v>346</v>
      </c>
      <c r="C58">
        <v>920</v>
      </c>
      <c r="D58">
        <v>4219</v>
      </c>
      <c r="E58" s="11">
        <f t="shared" si="22"/>
        <v>368</v>
      </c>
      <c r="F58" s="11">
        <f t="shared" si="14"/>
        <v>1687.6</v>
      </c>
      <c r="G58" s="237">
        <v>5472299</v>
      </c>
      <c r="H58" s="102">
        <f t="shared" si="20"/>
        <v>711398.87</v>
      </c>
      <c r="I58" s="168">
        <f t="shared" si="15"/>
        <v>3556994.35</v>
      </c>
      <c r="J58" s="27">
        <f t="shared" si="21"/>
        <v>1298302937.75</v>
      </c>
      <c r="K58" s="168">
        <f t="shared" si="24"/>
        <v>9200000000</v>
      </c>
      <c r="L58" s="168">
        <f t="shared" si="25"/>
        <v>155443.20000000004</v>
      </c>
      <c r="M58" s="168">
        <f t="shared" si="26"/>
        <v>453894144.0000001</v>
      </c>
      <c r="N58" s="168">
        <f t="shared" si="27"/>
        <v>2172.9664000000002</v>
      </c>
      <c r="O58" s="168">
        <f t="shared" si="28"/>
        <v>17383.731200000002</v>
      </c>
      <c r="P58" s="221">
        <f t="shared" si="16"/>
        <v>6345061.888</v>
      </c>
      <c r="Q58" s="168">
        <f t="shared" si="29"/>
        <v>8740</v>
      </c>
      <c r="R58" s="168">
        <f t="shared" si="17"/>
        <v>3190100</v>
      </c>
      <c r="S58" s="168">
        <f t="shared" si="30"/>
        <v>61332546.14173229</v>
      </c>
      <c r="T58" s="168">
        <f t="shared" si="23"/>
        <v>735990553.7007875</v>
      </c>
      <c r="U58" s="168"/>
      <c r="V58" s="168">
        <f t="shared" si="31"/>
        <v>2829772800</v>
      </c>
      <c r="W58" s="168">
        <f t="shared" si="32"/>
        <v>216406080000</v>
      </c>
      <c r="X58" s="168">
        <f t="shared" si="33"/>
        <v>110400000</v>
      </c>
      <c r="Y58" s="168">
        <f t="shared" si="18"/>
        <v>221843975597.33878</v>
      </c>
      <c r="Z58" s="168">
        <f t="shared" si="34"/>
        <v>110921987798.66939</v>
      </c>
      <c r="AA58" s="168">
        <f t="shared" si="19"/>
        <v>27730496949.667347</v>
      </c>
      <c r="AB58">
        <f t="shared" si="35"/>
        <v>0.08294117498776345</v>
      </c>
    </row>
    <row r="59" spans="1:28" ht="12.75">
      <c r="A59" t="s">
        <v>599</v>
      </c>
      <c r="B59" t="s">
        <v>347</v>
      </c>
      <c r="C59">
        <v>916</v>
      </c>
      <c r="D59">
        <v>2951</v>
      </c>
      <c r="E59" s="11">
        <f t="shared" si="22"/>
        <v>366.4</v>
      </c>
      <c r="F59" s="11">
        <f t="shared" si="14"/>
        <v>1180.4</v>
      </c>
      <c r="G59" s="237">
        <v>501242</v>
      </c>
      <c r="H59" s="102">
        <f t="shared" si="20"/>
        <v>65161.46</v>
      </c>
      <c r="I59" s="168">
        <f t="shared" si="15"/>
        <v>325807.3</v>
      </c>
      <c r="J59" s="27">
        <f t="shared" si="21"/>
        <v>118919664.5</v>
      </c>
      <c r="K59" s="168">
        <f t="shared" si="24"/>
        <v>9160000000</v>
      </c>
      <c r="L59" s="168">
        <f t="shared" si="25"/>
        <v>154767.36000000002</v>
      </c>
      <c r="M59" s="168">
        <f t="shared" si="26"/>
        <v>451920691.20000005</v>
      </c>
      <c r="N59" s="168">
        <f t="shared" si="27"/>
        <v>2163.51872</v>
      </c>
      <c r="O59" s="168">
        <f t="shared" si="28"/>
        <v>17308.14976</v>
      </c>
      <c r="P59" s="221">
        <f t="shared" si="16"/>
        <v>6317474.6624</v>
      </c>
      <c r="Q59" s="168">
        <f t="shared" si="29"/>
        <v>8702</v>
      </c>
      <c r="R59" s="168">
        <f t="shared" si="17"/>
        <v>3176230</v>
      </c>
      <c r="S59" s="168">
        <f t="shared" si="30"/>
        <v>61065882.8976378</v>
      </c>
      <c r="T59" s="168">
        <f t="shared" si="23"/>
        <v>732790594.7716537</v>
      </c>
      <c r="U59" s="168"/>
      <c r="V59" s="168">
        <f t="shared" si="31"/>
        <v>2817469440</v>
      </c>
      <c r="W59" s="168">
        <f t="shared" si="32"/>
        <v>215465184000</v>
      </c>
      <c r="X59" s="168">
        <f t="shared" si="33"/>
        <v>109920000</v>
      </c>
      <c r="Y59" s="168">
        <f t="shared" si="18"/>
        <v>219705698095.13406</v>
      </c>
      <c r="Z59" s="168">
        <f t="shared" si="34"/>
        <v>109852849047.56703</v>
      </c>
      <c r="AA59" s="168">
        <f t="shared" si="19"/>
        <v>27463212261.891758</v>
      </c>
      <c r="AB59">
        <f t="shared" si="35"/>
        <v>0.0833842734113674</v>
      </c>
    </row>
    <row r="60" spans="1:28" ht="13.5" thickBot="1">
      <c r="A60" t="s">
        <v>600</v>
      </c>
      <c r="B60" s="35" t="s">
        <v>348</v>
      </c>
      <c r="C60" s="35">
        <v>297</v>
      </c>
      <c r="D60" s="35">
        <v>400</v>
      </c>
      <c r="E60" s="292">
        <f t="shared" si="22"/>
        <v>118.8</v>
      </c>
      <c r="F60" s="11">
        <f t="shared" si="14"/>
        <v>160</v>
      </c>
      <c r="G60" s="238">
        <v>3878532</v>
      </c>
      <c r="H60" s="239">
        <f t="shared" si="20"/>
        <v>504209.16000000003</v>
      </c>
      <c r="I60" s="170">
        <f t="shared" si="15"/>
        <v>2521045.8000000003</v>
      </c>
      <c r="J60" s="37">
        <f t="shared" si="21"/>
        <v>920181717.0000001</v>
      </c>
      <c r="K60" s="170">
        <f t="shared" si="24"/>
        <v>2970000000</v>
      </c>
      <c r="L60" s="170">
        <f t="shared" si="25"/>
        <v>50181.12</v>
      </c>
      <c r="M60" s="170">
        <f t="shared" si="26"/>
        <v>146528870.4</v>
      </c>
      <c r="N60" s="170">
        <f t="shared" si="27"/>
        <v>701.4902400000001</v>
      </c>
      <c r="O60" s="170">
        <f t="shared" si="28"/>
        <v>5611.921920000001</v>
      </c>
      <c r="P60" s="170">
        <f t="shared" si="16"/>
        <v>2048351.5008000003</v>
      </c>
      <c r="Q60" s="170">
        <f t="shared" si="29"/>
        <v>2821.5</v>
      </c>
      <c r="R60" s="170">
        <f t="shared" si="17"/>
        <v>1029847.5</v>
      </c>
      <c r="S60" s="170">
        <f t="shared" si="30"/>
        <v>19799745.87401575</v>
      </c>
      <c r="T60" s="170">
        <f t="shared" si="23"/>
        <v>237596950.48818898</v>
      </c>
      <c r="U60" s="170"/>
      <c r="V60" s="170">
        <f t="shared" si="31"/>
        <v>913524480</v>
      </c>
      <c r="W60" s="170">
        <f t="shared" si="32"/>
        <v>69861528000</v>
      </c>
      <c r="X60" s="170">
        <f t="shared" si="33"/>
        <v>35640000</v>
      </c>
      <c r="Y60" s="170">
        <f t="shared" si="18"/>
        <v>72118078216.88899</v>
      </c>
      <c r="Z60" s="170">
        <f t="shared" si="34"/>
        <v>36059039108.444496</v>
      </c>
      <c r="AA60" s="170">
        <f t="shared" si="19"/>
        <v>9014759777.111124</v>
      </c>
      <c r="AB60" s="35">
        <f t="shared" si="35"/>
        <v>0.08236492356515594</v>
      </c>
    </row>
    <row r="61" spans="1:27" ht="12.75">
      <c r="A61" t="s">
        <v>405</v>
      </c>
      <c r="C61" s="294">
        <v>54740</v>
      </c>
      <c r="D61" s="294">
        <v>161417</v>
      </c>
      <c r="E61" s="293">
        <f>SUM(E9:E60)</f>
        <v>21896</v>
      </c>
      <c r="F61" s="293"/>
      <c r="J61" s="27">
        <f>SUM(J9:J60)</f>
        <v>69914801310.25</v>
      </c>
      <c r="K61" s="168"/>
      <c r="L61" s="168"/>
      <c r="M61" s="168">
        <f>SUM(M9:M60)</f>
        <v>27006701568.000004</v>
      </c>
      <c r="N61" s="168"/>
      <c r="O61" s="168"/>
      <c r="P61" s="168">
        <f>SUM(P9:P60)</f>
        <v>377531182.336</v>
      </c>
      <c r="Q61" s="168"/>
      <c r="R61" s="168">
        <f>SUM(R9:R60)</f>
        <v>189810950</v>
      </c>
      <c r="S61" s="168"/>
      <c r="T61" s="168">
        <f>SUM(T9:T60)</f>
        <v>43791437945.19685</v>
      </c>
      <c r="U61" s="168"/>
      <c r="V61" s="168">
        <f>SUM(V9:V60)</f>
        <v>168371481600</v>
      </c>
      <c r="W61" s="168">
        <f>SUM(W8:W60)</f>
        <v>12876396984000</v>
      </c>
      <c r="X61" s="168">
        <f>SUM(X8:X60)</f>
        <v>6568920000</v>
      </c>
      <c r="Y61" s="168">
        <f t="shared" si="18"/>
        <v>13192617668555.783</v>
      </c>
      <c r="Z61" s="168">
        <f t="shared" si="34"/>
        <v>6596308834277.892</v>
      </c>
      <c r="AA61" s="168"/>
    </row>
    <row r="62" spans="1:28" s="209" customFormat="1" ht="24" customHeight="1">
      <c r="A62" s="209" t="s">
        <v>406</v>
      </c>
      <c r="E62" s="11">
        <f>SUM(D61/5)*$E$8</f>
        <v>64566.8</v>
      </c>
      <c r="F62" s="11"/>
      <c r="H62" s="210"/>
      <c r="I62" s="210"/>
      <c r="J62" s="211">
        <f aca="true" t="shared" si="36" ref="J62:X62">SUM(J61/$Y$61)</f>
        <v>0.005299539717344336</v>
      </c>
      <c r="K62" s="211"/>
      <c r="L62" s="211"/>
      <c r="M62" s="211">
        <f t="shared" si="36"/>
        <v>0.0020471071205504336</v>
      </c>
      <c r="N62" s="211"/>
      <c r="O62" s="211"/>
      <c r="P62" s="211">
        <f t="shared" si="36"/>
        <v>2.86168516226946E-05</v>
      </c>
      <c r="Q62" s="211"/>
      <c r="R62" s="211">
        <f t="shared" si="36"/>
        <v>1.4387663977590196E-05</v>
      </c>
      <c r="S62" s="211"/>
      <c r="T62" s="211">
        <f t="shared" si="36"/>
        <v>0.003319389604503772</v>
      </c>
      <c r="U62" s="211"/>
      <c r="V62" s="211">
        <f t="shared" si="36"/>
        <v>0.012762552954241104</v>
      </c>
      <c r="W62" s="211">
        <f t="shared" si="36"/>
        <v>0.9760304821605279</v>
      </c>
      <c r="X62" s="211">
        <f t="shared" si="36"/>
        <v>0.0004979239272321844</v>
      </c>
      <c r="Y62" s="211">
        <f>SUM(Y61/$Y$61)</f>
        <v>1</v>
      </c>
      <c r="Z62" s="212"/>
      <c r="AA62" s="212"/>
      <c r="AB62" s="213"/>
    </row>
    <row r="63" spans="1:24" ht="12.75">
      <c r="A63" t="s">
        <v>533</v>
      </c>
      <c r="W63" s="214" t="s">
        <v>407</v>
      </c>
      <c r="X63" s="168">
        <f>SUM(Y61-Z61)</f>
        <v>6596308834277.892</v>
      </c>
    </row>
    <row r="65" spans="10:25" ht="13.5" thickBot="1">
      <c r="J65" s="37"/>
      <c r="Y65" s="168"/>
    </row>
  </sheetData>
  <hyperlinks>
    <hyperlink ref="S8" location="Advertising_Rev.month.per.mile" display="Advertising_Rev.month.per.mile"/>
  </hyperlinks>
  <printOptions/>
  <pageMargins left="0.75" right="0.75" top="1" bottom="1" header="0.5" footer="0.5"/>
  <pageSetup fitToWidth="2" fitToHeight="1" horizontalDpi="600" verticalDpi="600" orientation="landscape" scale="42" r:id="rId1"/>
  <ignoredErrors>
    <ignoredError sqref="Q9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G46" sqref="G46"/>
    </sheetView>
  </sheetViews>
  <sheetFormatPr defaultColWidth="9.140625" defaultRowHeight="12.75"/>
  <sheetData>
    <row r="1" spans="1:7" ht="45">
      <c r="A1" s="229" t="s">
        <v>470</v>
      </c>
      <c r="B1" s="230" t="s">
        <v>471</v>
      </c>
      <c r="C1" s="230" t="s">
        <v>472</v>
      </c>
      <c r="D1" s="230" t="s">
        <v>473</v>
      </c>
      <c r="E1" s="230" t="s">
        <v>474</v>
      </c>
      <c r="F1" s="230" t="s">
        <v>475</v>
      </c>
      <c r="G1" s="231" t="s">
        <v>476</v>
      </c>
    </row>
    <row r="2" spans="1:7" ht="18">
      <c r="A2" s="232" t="s">
        <v>477</v>
      </c>
      <c r="B2" s="228">
        <v>290809777</v>
      </c>
      <c r="C2" s="228">
        <v>287973924</v>
      </c>
      <c r="D2" s="228">
        <v>285093813</v>
      </c>
      <c r="E2" s="228">
        <v>282177754</v>
      </c>
      <c r="F2" s="228">
        <v>281423231</v>
      </c>
      <c r="G2" s="233">
        <v>281421906</v>
      </c>
    </row>
    <row r="3" spans="1:7" ht="12.75">
      <c r="A3" s="232" t="s">
        <v>478</v>
      </c>
      <c r="B3" s="228">
        <v>4500752</v>
      </c>
      <c r="C3" s="228">
        <v>4478896</v>
      </c>
      <c r="D3" s="228">
        <v>4466440</v>
      </c>
      <c r="E3" s="228">
        <v>4451601</v>
      </c>
      <c r="F3" s="228">
        <v>4447100</v>
      </c>
      <c r="G3" s="233">
        <v>4447100</v>
      </c>
    </row>
    <row r="4" spans="1:7" ht="12.75">
      <c r="A4" s="232" t="s">
        <v>479</v>
      </c>
      <c r="B4" s="228">
        <v>648818</v>
      </c>
      <c r="C4" s="228">
        <v>641482</v>
      </c>
      <c r="D4" s="228">
        <v>632674</v>
      </c>
      <c r="E4" s="228">
        <v>627576</v>
      </c>
      <c r="F4" s="228">
        <v>626931</v>
      </c>
      <c r="G4" s="233">
        <v>626932</v>
      </c>
    </row>
    <row r="5" spans="1:7" ht="12.75">
      <c r="A5" s="232" t="s">
        <v>480</v>
      </c>
      <c r="B5" s="228">
        <v>5580811</v>
      </c>
      <c r="C5" s="228">
        <v>5441125</v>
      </c>
      <c r="D5" s="228">
        <v>5297684</v>
      </c>
      <c r="E5" s="228">
        <v>5165765</v>
      </c>
      <c r="F5" s="228">
        <v>5130632</v>
      </c>
      <c r="G5" s="233">
        <v>5130632</v>
      </c>
    </row>
    <row r="6" spans="1:7" ht="12.75">
      <c r="A6" s="232" t="s">
        <v>481</v>
      </c>
      <c r="B6" s="228">
        <v>2725714</v>
      </c>
      <c r="C6" s="228">
        <v>2706268</v>
      </c>
      <c r="D6" s="228">
        <v>2692041</v>
      </c>
      <c r="E6" s="228">
        <v>2678322</v>
      </c>
      <c r="F6" s="228">
        <v>2673398</v>
      </c>
      <c r="G6" s="233">
        <v>2673400</v>
      </c>
    </row>
    <row r="7" spans="1:7" ht="18">
      <c r="A7" s="232" t="s">
        <v>482</v>
      </c>
      <c r="B7" s="228">
        <v>35484453</v>
      </c>
      <c r="C7" s="228">
        <v>35001986</v>
      </c>
      <c r="D7" s="228">
        <v>34533054</v>
      </c>
      <c r="E7" s="228">
        <v>33999879</v>
      </c>
      <c r="F7" s="228">
        <v>33871653</v>
      </c>
      <c r="G7" s="233">
        <v>33871648</v>
      </c>
    </row>
    <row r="8" spans="1:7" ht="12.75">
      <c r="A8" s="232" t="s">
        <v>483</v>
      </c>
      <c r="B8" s="228">
        <v>4550688</v>
      </c>
      <c r="C8" s="228">
        <v>4501051</v>
      </c>
      <c r="D8" s="228">
        <v>4428786</v>
      </c>
      <c r="E8" s="228">
        <v>4326872</v>
      </c>
      <c r="F8" s="228">
        <v>4301997</v>
      </c>
      <c r="G8" s="233">
        <v>4301261</v>
      </c>
    </row>
    <row r="9" spans="1:7" ht="18">
      <c r="A9" s="232" t="s">
        <v>484</v>
      </c>
      <c r="B9" s="228">
        <v>3483372</v>
      </c>
      <c r="C9" s="228">
        <v>3458587</v>
      </c>
      <c r="D9" s="228">
        <v>3432550</v>
      </c>
      <c r="E9" s="228">
        <v>3411750</v>
      </c>
      <c r="F9" s="228">
        <v>3405584</v>
      </c>
      <c r="G9" s="233">
        <v>3405565</v>
      </c>
    </row>
    <row r="10" spans="1:7" ht="12.75">
      <c r="A10" s="232" t="s">
        <v>485</v>
      </c>
      <c r="B10" s="228">
        <v>817491</v>
      </c>
      <c r="C10" s="228">
        <v>805945</v>
      </c>
      <c r="D10" s="228">
        <v>795576</v>
      </c>
      <c r="E10" s="228">
        <v>786397</v>
      </c>
      <c r="F10" s="228">
        <v>783600</v>
      </c>
      <c r="G10" s="233">
        <v>783600</v>
      </c>
    </row>
    <row r="11" spans="1:7" ht="18">
      <c r="A11" s="232" t="s">
        <v>486</v>
      </c>
      <c r="B11" s="228">
        <v>563384</v>
      </c>
      <c r="C11" s="228">
        <v>569157</v>
      </c>
      <c r="D11" s="228">
        <v>572716</v>
      </c>
      <c r="E11" s="228">
        <v>571437</v>
      </c>
      <c r="F11" s="228">
        <v>572059</v>
      </c>
      <c r="G11" s="233">
        <v>572059</v>
      </c>
    </row>
    <row r="12" spans="1:7" ht="12.75">
      <c r="A12" s="232" t="s">
        <v>487</v>
      </c>
      <c r="B12" s="228">
        <v>17019068</v>
      </c>
      <c r="C12" s="228">
        <v>16691701</v>
      </c>
      <c r="D12" s="228">
        <v>16355193</v>
      </c>
      <c r="E12" s="228">
        <v>16047807</v>
      </c>
      <c r="F12" s="228">
        <v>15982820</v>
      </c>
      <c r="G12" s="233">
        <v>15982378</v>
      </c>
    </row>
    <row r="13" spans="1:7" ht="12.75">
      <c r="A13" s="232" t="s">
        <v>488</v>
      </c>
      <c r="B13" s="228">
        <v>8684715</v>
      </c>
      <c r="C13" s="228">
        <v>8544005</v>
      </c>
      <c r="D13" s="228">
        <v>8394795</v>
      </c>
      <c r="E13" s="228">
        <v>8230094</v>
      </c>
      <c r="F13" s="228">
        <v>8186517</v>
      </c>
      <c r="G13" s="233">
        <v>8186453</v>
      </c>
    </row>
    <row r="14" spans="1:7" ht="12.75">
      <c r="A14" s="232" t="s">
        <v>489</v>
      </c>
      <c r="B14" s="228">
        <v>1257608</v>
      </c>
      <c r="C14" s="228">
        <v>1240663</v>
      </c>
      <c r="D14" s="228">
        <v>1225038</v>
      </c>
      <c r="E14" s="228">
        <v>1212343</v>
      </c>
      <c r="F14" s="228">
        <v>1211537</v>
      </c>
      <c r="G14" s="233">
        <v>1211537</v>
      </c>
    </row>
    <row r="15" spans="1:7" ht="12.75">
      <c r="A15" s="232" t="s">
        <v>490</v>
      </c>
      <c r="B15" s="228">
        <v>1366332</v>
      </c>
      <c r="C15" s="228">
        <v>1343124</v>
      </c>
      <c r="D15" s="228">
        <v>1321309</v>
      </c>
      <c r="E15" s="228">
        <v>1299610</v>
      </c>
      <c r="F15" s="228">
        <v>1293956</v>
      </c>
      <c r="G15" s="233">
        <v>1293953</v>
      </c>
    </row>
    <row r="16" spans="1:7" ht="12.75">
      <c r="A16" s="232" t="s">
        <v>491</v>
      </c>
      <c r="B16" s="228">
        <v>12653544</v>
      </c>
      <c r="C16" s="228">
        <v>12586447</v>
      </c>
      <c r="D16" s="228">
        <v>12517168</v>
      </c>
      <c r="E16" s="228">
        <v>12438824</v>
      </c>
      <c r="F16" s="228">
        <v>12419570</v>
      </c>
      <c r="G16" s="233">
        <v>12419293</v>
      </c>
    </row>
    <row r="17" spans="1:7" ht="12.75">
      <c r="A17" s="232" t="s">
        <v>492</v>
      </c>
      <c r="B17" s="228">
        <v>6195643</v>
      </c>
      <c r="C17" s="228">
        <v>6156913</v>
      </c>
      <c r="D17" s="228">
        <v>6126470</v>
      </c>
      <c r="E17" s="228">
        <v>6091535</v>
      </c>
      <c r="F17" s="228">
        <v>6080506</v>
      </c>
      <c r="G17" s="233">
        <v>6080485</v>
      </c>
    </row>
    <row r="18" spans="1:7" ht="12.75">
      <c r="A18" s="232" t="s">
        <v>493</v>
      </c>
      <c r="B18" s="228">
        <v>2944062</v>
      </c>
      <c r="C18" s="228">
        <v>2935840</v>
      </c>
      <c r="D18" s="228">
        <v>2932225</v>
      </c>
      <c r="E18" s="228">
        <v>2928514</v>
      </c>
      <c r="F18" s="228">
        <v>2926382</v>
      </c>
      <c r="G18" s="233">
        <v>2926324</v>
      </c>
    </row>
    <row r="19" spans="1:7" ht="12.75">
      <c r="A19" s="232" t="s">
        <v>494</v>
      </c>
      <c r="B19" s="228">
        <v>2723507</v>
      </c>
      <c r="C19" s="228">
        <v>2711769</v>
      </c>
      <c r="D19" s="228">
        <v>2700453</v>
      </c>
      <c r="E19" s="228">
        <v>2692643</v>
      </c>
      <c r="F19" s="228">
        <v>2688814</v>
      </c>
      <c r="G19" s="233">
        <v>2688418</v>
      </c>
    </row>
    <row r="20" spans="1:7" ht="12.75">
      <c r="A20" s="232" t="s">
        <v>495</v>
      </c>
      <c r="B20" s="228">
        <v>4117827</v>
      </c>
      <c r="C20" s="228">
        <v>4089822</v>
      </c>
      <c r="D20" s="228">
        <v>4067336</v>
      </c>
      <c r="E20" s="228">
        <v>4048635</v>
      </c>
      <c r="F20" s="228">
        <v>4042209</v>
      </c>
      <c r="G20" s="233">
        <v>4041769</v>
      </c>
    </row>
    <row r="21" spans="1:7" ht="18">
      <c r="A21" s="232" t="s">
        <v>496</v>
      </c>
      <c r="B21" s="228">
        <v>4496334</v>
      </c>
      <c r="C21" s="228">
        <v>4476192</v>
      </c>
      <c r="D21" s="228">
        <v>4466001</v>
      </c>
      <c r="E21" s="228">
        <v>4469216</v>
      </c>
      <c r="F21" s="228">
        <v>4468958</v>
      </c>
      <c r="G21" s="233">
        <v>4468976</v>
      </c>
    </row>
    <row r="22" spans="1:7" ht="12.75">
      <c r="A22" s="232" t="s">
        <v>497</v>
      </c>
      <c r="B22" s="228">
        <v>1305728</v>
      </c>
      <c r="C22" s="228">
        <v>1294894</v>
      </c>
      <c r="D22" s="228">
        <v>1284691</v>
      </c>
      <c r="E22" s="228">
        <v>1277280</v>
      </c>
      <c r="F22" s="228">
        <v>1274923</v>
      </c>
      <c r="G22" s="233">
        <v>1274923</v>
      </c>
    </row>
    <row r="23" spans="1:7" ht="12.75">
      <c r="A23" s="232" t="s">
        <v>498</v>
      </c>
      <c r="B23" s="228">
        <v>5508909</v>
      </c>
      <c r="C23" s="228">
        <v>5450525</v>
      </c>
      <c r="D23" s="228">
        <v>5383377</v>
      </c>
      <c r="E23" s="228">
        <v>5311531</v>
      </c>
      <c r="F23" s="228">
        <v>5296485</v>
      </c>
      <c r="G23" s="233">
        <v>5296486</v>
      </c>
    </row>
    <row r="24" spans="1:7" ht="18">
      <c r="A24" s="232" t="s">
        <v>499</v>
      </c>
      <c r="B24" s="228">
        <v>6433422</v>
      </c>
      <c r="C24" s="228">
        <v>6421800</v>
      </c>
      <c r="D24" s="228">
        <v>6399869</v>
      </c>
      <c r="E24" s="228">
        <v>6362076</v>
      </c>
      <c r="F24" s="228">
        <v>6349097</v>
      </c>
      <c r="G24" s="233">
        <v>6349097</v>
      </c>
    </row>
    <row r="25" spans="1:7" ht="12.75">
      <c r="A25" s="232" t="s">
        <v>500</v>
      </c>
      <c r="B25" s="228">
        <v>10079985</v>
      </c>
      <c r="C25" s="228">
        <v>10043221</v>
      </c>
      <c r="D25" s="228">
        <v>10005218</v>
      </c>
      <c r="E25" s="228">
        <v>9955795</v>
      </c>
      <c r="F25" s="228">
        <v>9938480</v>
      </c>
      <c r="G25" s="233">
        <v>9938444</v>
      </c>
    </row>
    <row r="26" spans="1:7" ht="18">
      <c r="A26" s="232" t="s">
        <v>501</v>
      </c>
      <c r="B26" s="228">
        <v>5059375</v>
      </c>
      <c r="C26" s="228">
        <v>5024791</v>
      </c>
      <c r="D26" s="228">
        <v>4985202</v>
      </c>
      <c r="E26" s="228">
        <v>4933648</v>
      </c>
      <c r="F26" s="228">
        <v>4919485</v>
      </c>
      <c r="G26" s="233">
        <v>4919479</v>
      </c>
    </row>
    <row r="27" spans="1:7" ht="18">
      <c r="A27" s="232" t="s">
        <v>502</v>
      </c>
      <c r="B27" s="228">
        <v>2881281</v>
      </c>
      <c r="C27" s="228">
        <v>2866733</v>
      </c>
      <c r="D27" s="228">
        <v>2857716</v>
      </c>
      <c r="E27" s="228">
        <v>2848440</v>
      </c>
      <c r="F27" s="228">
        <v>2844656</v>
      </c>
      <c r="G27" s="233">
        <v>2844658</v>
      </c>
    </row>
    <row r="28" spans="1:7" ht="12.75">
      <c r="A28" s="232" t="s">
        <v>503</v>
      </c>
      <c r="B28" s="228">
        <v>5704484</v>
      </c>
      <c r="C28" s="228">
        <v>5669544</v>
      </c>
      <c r="D28" s="228">
        <v>5636220</v>
      </c>
      <c r="E28" s="228">
        <v>5605995</v>
      </c>
      <c r="F28" s="228">
        <v>5596683</v>
      </c>
      <c r="G28" s="233">
        <v>5595211</v>
      </c>
    </row>
    <row r="29" spans="1:7" ht="12.75">
      <c r="A29" s="232" t="s">
        <v>504</v>
      </c>
      <c r="B29" s="228">
        <v>917621</v>
      </c>
      <c r="C29" s="228">
        <v>910372</v>
      </c>
      <c r="D29" s="228">
        <v>905954</v>
      </c>
      <c r="E29" s="228">
        <v>903380</v>
      </c>
      <c r="F29" s="228">
        <v>902195</v>
      </c>
      <c r="G29" s="233">
        <v>902195</v>
      </c>
    </row>
    <row r="30" spans="1:7" ht="12.75">
      <c r="A30" s="232" t="s">
        <v>505</v>
      </c>
      <c r="B30" s="228">
        <v>1739291</v>
      </c>
      <c r="C30" s="228">
        <v>1727564</v>
      </c>
      <c r="D30" s="228">
        <v>1719000</v>
      </c>
      <c r="E30" s="228">
        <v>1713165</v>
      </c>
      <c r="F30" s="228">
        <v>1711265</v>
      </c>
      <c r="G30" s="233">
        <v>1711263</v>
      </c>
    </row>
    <row r="31" spans="1:7" ht="12.75">
      <c r="A31" s="232" t="s">
        <v>506</v>
      </c>
      <c r="B31" s="228">
        <v>2241154</v>
      </c>
      <c r="C31" s="228">
        <v>2167455</v>
      </c>
      <c r="D31" s="228">
        <v>2094633</v>
      </c>
      <c r="E31" s="228">
        <v>2018104</v>
      </c>
      <c r="F31" s="228">
        <v>1998257</v>
      </c>
      <c r="G31" s="233">
        <v>1998257</v>
      </c>
    </row>
    <row r="32" spans="1:7" ht="18">
      <c r="A32" s="232" t="s">
        <v>507</v>
      </c>
      <c r="B32" s="228">
        <v>1287687</v>
      </c>
      <c r="C32" s="228">
        <v>1274405</v>
      </c>
      <c r="D32" s="228">
        <v>1258974</v>
      </c>
      <c r="E32" s="228">
        <v>1240472</v>
      </c>
      <c r="F32" s="228">
        <v>1235786</v>
      </c>
      <c r="G32" s="233">
        <v>1235786</v>
      </c>
    </row>
    <row r="33" spans="1:7" ht="18">
      <c r="A33" s="232" t="s">
        <v>508</v>
      </c>
      <c r="B33" s="228">
        <v>8638396</v>
      </c>
      <c r="C33" s="228">
        <v>8575252</v>
      </c>
      <c r="D33" s="228">
        <v>8504114</v>
      </c>
      <c r="E33" s="228">
        <v>8432116</v>
      </c>
      <c r="F33" s="228">
        <v>8414347</v>
      </c>
      <c r="G33" s="233">
        <v>8414350</v>
      </c>
    </row>
    <row r="34" spans="1:7" ht="18">
      <c r="A34" s="232" t="s">
        <v>509</v>
      </c>
      <c r="B34" s="228">
        <v>1874614</v>
      </c>
      <c r="C34" s="228">
        <v>1852044</v>
      </c>
      <c r="D34" s="228">
        <v>1829110</v>
      </c>
      <c r="E34" s="228">
        <v>1821544</v>
      </c>
      <c r="F34" s="228">
        <v>1819046</v>
      </c>
      <c r="G34" s="233">
        <v>1819046</v>
      </c>
    </row>
    <row r="35" spans="1:7" ht="12.75">
      <c r="A35" s="232" t="s">
        <v>510</v>
      </c>
      <c r="B35" s="228">
        <v>19190115</v>
      </c>
      <c r="C35" s="228">
        <v>19134293</v>
      </c>
      <c r="D35" s="228">
        <v>19074843</v>
      </c>
      <c r="E35" s="228">
        <v>18997344</v>
      </c>
      <c r="F35" s="228">
        <v>18976821</v>
      </c>
      <c r="G35" s="233">
        <v>18976457</v>
      </c>
    </row>
    <row r="36" spans="1:7" ht="18">
      <c r="A36" s="232" t="s">
        <v>511</v>
      </c>
      <c r="B36" s="228">
        <v>8407248</v>
      </c>
      <c r="C36" s="228">
        <v>8305820</v>
      </c>
      <c r="D36" s="228">
        <v>8195249</v>
      </c>
      <c r="E36" s="228">
        <v>8077662</v>
      </c>
      <c r="F36" s="228">
        <v>8046451</v>
      </c>
      <c r="G36" s="233">
        <v>8049313</v>
      </c>
    </row>
    <row r="37" spans="1:7" ht="18">
      <c r="A37" s="232" t="s">
        <v>512</v>
      </c>
      <c r="B37" s="228">
        <v>633837</v>
      </c>
      <c r="C37" s="228">
        <v>633911</v>
      </c>
      <c r="D37" s="228">
        <v>636285</v>
      </c>
      <c r="E37" s="228">
        <v>641082</v>
      </c>
      <c r="F37" s="228">
        <v>642200</v>
      </c>
      <c r="G37" s="233">
        <v>642200</v>
      </c>
    </row>
    <row r="38" spans="1:7" ht="12.75">
      <c r="A38" s="232" t="s">
        <v>513</v>
      </c>
      <c r="B38" s="228">
        <v>11435798</v>
      </c>
      <c r="C38" s="228">
        <v>11408699</v>
      </c>
      <c r="D38" s="228">
        <v>11385833</v>
      </c>
      <c r="E38" s="228">
        <v>11363337</v>
      </c>
      <c r="F38" s="228">
        <v>11353143</v>
      </c>
      <c r="G38" s="233">
        <v>11353140</v>
      </c>
    </row>
    <row r="39" spans="1:7" ht="18">
      <c r="A39" s="232" t="s">
        <v>514</v>
      </c>
      <c r="B39" s="228">
        <v>3511532</v>
      </c>
      <c r="C39" s="228">
        <v>3489700</v>
      </c>
      <c r="D39" s="228">
        <v>3467181</v>
      </c>
      <c r="E39" s="228">
        <v>3453996</v>
      </c>
      <c r="F39" s="228">
        <v>3450654</v>
      </c>
      <c r="G39" s="233">
        <v>3450654</v>
      </c>
    </row>
    <row r="40" spans="1:7" ht="12.75">
      <c r="A40" s="232" t="s">
        <v>515</v>
      </c>
      <c r="B40" s="228">
        <v>3559596</v>
      </c>
      <c r="C40" s="228">
        <v>3520355</v>
      </c>
      <c r="D40" s="228">
        <v>3472629</v>
      </c>
      <c r="E40" s="228">
        <v>3430706</v>
      </c>
      <c r="F40" s="228">
        <v>3421432</v>
      </c>
      <c r="G40" s="233">
        <v>3421399</v>
      </c>
    </row>
    <row r="41" spans="1:7" ht="18">
      <c r="A41" s="232" t="s">
        <v>516</v>
      </c>
      <c r="B41" s="228">
        <v>12365455</v>
      </c>
      <c r="C41" s="228">
        <v>12328827</v>
      </c>
      <c r="D41" s="228">
        <v>12298363</v>
      </c>
      <c r="E41" s="228">
        <v>12285492</v>
      </c>
      <c r="F41" s="228">
        <v>12281054</v>
      </c>
      <c r="G41" s="233">
        <v>12281054</v>
      </c>
    </row>
    <row r="42" spans="1:7" ht="18">
      <c r="A42" s="232" t="s">
        <v>517</v>
      </c>
      <c r="B42" s="228">
        <v>1076164</v>
      </c>
      <c r="C42" s="228">
        <v>1068326</v>
      </c>
      <c r="D42" s="228">
        <v>1058992</v>
      </c>
      <c r="E42" s="228">
        <v>1050664</v>
      </c>
      <c r="F42" s="228">
        <v>1048319</v>
      </c>
      <c r="G42" s="233">
        <v>1048319</v>
      </c>
    </row>
    <row r="43" spans="1:7" ht="18">
      <c r="A43" s="232" t="s">
        <v>518</v>
      </c>
      <c r="B43" s="228">
        <v>4147152</v>
      </c>
      <c r="C43" s="228">
        <v>4103770</v>
      </c>
      <c r="D43" s="228">
        <v>4059818</v>
      </c>
      <c r="E43" s="228">
        <v>4023129</v>
      </c>
      <c r="F43" s="228">
        <v>4011848</v>
      </c>
      <c r="G43" s="233">
        <v>4012012</v>
      </c>
    </row>
    <row r="44" spans="1:7" ht="18">
      <c r="A44" s="232" t="s">
        <v>519</v>
      </c>
      <c r="B44" s="228">
        <v>764309</v>
      </c>
      <c r="C44" s="228">
        <v>760437</v>
      </c>
      <c r="D44" s="228">
        <v>758156</v>
      </c>
      <c r="E44" s="228">
        <v>755683</v>
      </c>
      <c r="F44" s="228">
        <v>754844</v>
      </c>
      <c r="G44" s="233">
        <v>754844</v>
      </c>
    </row>
    <row r="45" spans="1:7" ht="18">
      <c r="A45" s="232" t="s">
        <v>520</v>
      </c>
      <c r="B45" s="228">
        <v>5841748</v>
      </c>
      <c r="C45" s="228">
        <v>5789796</v>
      </c>
      <c r="D45" s="228">
        <v>5745808</v>
      </c>
      <c r="E45" s="228">
        <v>5702670</v>
      </c>
      <c r="F45" s="228">
        <v>5689262</v>
      </c>
      <c r="G45" s="233">
        <v>5689283</v>
      </c>
    </row>
    <row r="46" spans="1:7" ht="12.75">
      <c r="A46" s="232" t="s">
        <v>521</v>
      </c>
      <c r="B46" s="228">
        <v>22118509</v>
      </c>
      <c r="C46" s="228">
        <v>21736925</v>
      </c>
      <c r="D46" s="228">
        <v>21340598</v>
      </c>
      <c r="E46" s="228">
        <v>20949316</v>
      </c>
      <c r="F46" s="228">
        <v>20851790</v>
      </c>
      <c r="G46" s="233">
        <v>20851820</v>
      </c>
    </row>
    <row r="47" spans="1:7" ht="12.75">
      <c r="A47" s="232" t="s">
        <v>522</v>
      </c>
      <c r="B47" s="228">
        <v>2351467</v>
      </c>
      <c r="C47" s="228">
        <v>2318789</v>
      </c>
      <c r="D47" s="228">
        <v>2279590</v>
      </c>
      <c r="E47" s="228">
        <v>2243129</v>
      </c>
      <c r="F47" s="228">
        <v>2233198</v>
      </c>
      <c r="G47" s="233">
        <v>2233169</v>
      </c>
    </row>
    <row r="48" spans="1:7" ht="12.75">
      <c r="A48" s="232" t="s">
        <v>523</v>
      </c>
      <c r="B48" s="228">
        <v>619107</v>
      </c>
      <c r="C48" s="228">
        <v>616408</v>
      </c>
      <c r="D48" s="228">
        <v>612923</v>
      </c>
      <c r="E48" s="228">
        <v>609932</v>
      </c>
      <c r="F48" s="228">
        <v>608827</v>
      </c>
      <c r="G48" s="233">
        <v>608827</v>
      </c>
    </row>
    <row r="49" spans="1:7" ht="12.75">
      <c r="A49" s="232" t="s">
        <v>524</v>
      </c>
      <c r="B49" s="228">
        <v>7386330</v>
      </c>
      <c r="C49" s="228">
        <v>7287829</v>
      </c>
      <c r="D49" s="228">
        <v>7192697</v>
      </c>
      <c r="E49" s="228">
        <v>7104852</v>
      </c>
      <c r="F49" s="228">
        <v>7078483</v>
      </c>
      <c r="G49" s="233">
        <v>7078515</v>
      </c>
    </row>
    <row r="50" spans="1:7" ht="18">
      <c r="A50" s="232" t="s">
        <v>525</v>
      </c>
      <c r="B50" s="228">
        <v>6131445</v>
      </c>
      <c r="C50" s="228">
        <v>6067060</v>
      </c>
      <c r="D50" s="228">
        <v>5992760</v>
      </c>
      <c r="E50" s="228">
        <v>5911043</v>
      </c>
      <c r="F50" s="228">
        <v>5894141</v>
      </c>
      <c r="G50" s="233">
        <v>5894121</v>
      </c>
    </row>
    <row r="51" spans="1:7" ht="18">
      <c r="A51" s="232" t="s">
        <v>526</v>
      </c>
      <c r="B51" s="228">
        <v>1810354</v>
      </c>
      <c r="C51" s="228">
        <v>1804884</v>
      </c>
      <c r="D51" s="228">
        <v>1801641</v>
      </c>
      <c r="E51" s="228">
        <v>1807326</v>
      </c>
      <c r="F51" s="228">
        <v>1808350</v>
      </c>
      <c r="G51" s="233">
        <v>1808344</v>
      </c>
    </row>
    <row r="52" spans="1:7" ht="18">
      <c r="A52" s="232" t="s">
        <v>527</v>
      </c>
      <c r="B52" s="228">
        <v>5472299</v>
      </c>
      <c r="C52" s="228">
        <v>5439692</v>
      </c>
      <c r="D52" s="228">
        <v>5405140</v>
      </c>
      <c r="E52" s="228">
        <v>5373947</v>
      </c>
      <c r="F52" s="228">
        <v>5363704</v>
      </c>
      <c r="G52" s="233">
        <v>5363675</v>
      </c>
    </row>
    <row r="53" spans="1:7" ht="12.75">
      <c r="A53" s="232" t="s">
        <v>528</v>
      </c>
      <c r="B53" s="228">
        <v>501242</v>
      </c>
      <c r="C53" s="228">
        <v>498830</v>
      </c>
      <c r="D53" s="228">
        <v>493720</v>
      </c>
      <c r="E53" s="228">
        <v>494078</v>
      </c>
      <c r="F53" s="228">
        <v>493782</v>
      </c>
      <c r="G53" s="233">
        <v>493782</v>
      </c>
    </row>
    <row r="54" spans="1:7" ht="18.75" thickBot="1">
      <c r="A54" s="234" t="s">
        <v>529</v>
      </c>
      <c r="B54" s="235">
        <v>3878532</v>
      </c>
      <c r="C54" s="235">
        <v>3859523</v>
      </c>
      <c r="D54" s="235">
        <v>3839119</v>
      </c>
      <c r="E54" s="235">
        <v>3815909</v>
      </c>
      <c r="F54" s="235">
        <v>3808603</v>
      </c>
      <c r="G54" s="236">
        <v>3808610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3"/>
  <sheetViews>
    <sheetView workbookViewId="0" topLeftCell="A1">
      <selection activeCell="A1" sqref="A1"/>
    </sheetView>
  </sheetViews>
  <sheetFormatPr defaultColWidth="9.140625" defaultRowHeight="12.75"/>
  <cols>
    <col min="1" max="1" width="34.7109375" style="0" customWidth="1"/>
    <col min="2" max="2" width="15.421875" style="0" customWidth="1"/>
    <col min="3" max="3" width="20.7109375" style="0" bestFit="1" customWidth="1"/>
    <col min="4" max="4" width="17.8515625" style="0" bestFit="1" customWidth="1"/>
    <col min="5" max="5" width="18.8515625" style="0" bestFit="1" customWidth="1"/>
    <col min="6" max="6" width="16.421875" style="0" customWidth="1"/>
    <col min="7" max="7" width="19.140625" style="0" customWidth="1"/>
    <col min="8" max="8" width="20.57421875" style="0" customWidth="1"/>
    <col min="9" max="9" width="18.421875" style="0" bestFit="1" customWidth="1"/>
  </cols>
  <sheetData>
    <row r="3" ht="18">
      <c r="A3" s="209" t="s">
        <v>699</v>
      </c>
    </row>
    <row r="4" spans="1:9" ht="12.75">
      <c r="A4" s="30" t="s">
        <v>700</v>
      </c>
      <c r="B4" s="30" t="s">
        <v>92</v>
      </c>
      <c r="C4" s="30" t="s">
        <v>701</v>
      </c>
      <c r="D4" s="30" t="s">
        <v>702</v>
      </c>
      <c r="E4" s="30" t="s">
        <v>703</v>
      </c>
      <c r="F4" s="30" t="s">
        <v>704</v>
      </c>
      <c r="G4" s="30" t="s">
        <v>93</v>
      </c>
      <c r="H4" s="30" t="s">
        <v>705</v>
      </c>
      <c r="I4" s="30" t="s">
        <v>706</v>
      </c>
    </row>
    <row r="5" spans="1:9" ht="12.75">
      <c r="A5" t="s">
        <v>707</v>
      </c>
      <c r="B5" s="272">
        <v>283.87</v>
      </c>
      <c r="C5">
        <f>'[3]Return On Investment'!$C$16</f>
        <v>180</v>
      </c>
      <c r="D5" s="144">
        <f aca="true" t="shared" si="0" ref="D5:D12">SUM(B5/C5)</f>
        <v>1.5770555555555557</v>
      </c>
      <c r="E5" s="273">
        <f aca="true" t="shared" si="1" ref="E5:E12">SUM(60*D5)</f>
        <v>94.62333333333333</v>
      </c>
      <c r="F5" s="274">
        <f aca="true" t="shared" si="2" ref="F5:F11">SUM(B5/70)*60</f>
        <v>243.31714285714287</v>
      </c>
      <c r="G5" s="275">
        <f aca="true" t="shared" si="3" ref="G5:G11">SUM(B5/0.62)</f>
        <v>457.85483870967744</v>
      </c>
      <c r="H5" s="27">
        <f>'[3]Costs per kilometer'!$F$52</f>
        <v>3026000.3554311027</v>
      </c>
      <c r="I5" s="27">
        <f aca="true" t="shared" si="4" ref="I5:I12">SUM(G5*H5)</f>
        <v>1385468904.671334</v>
      </c>
    </row>
    <row r="6" spans="1:9" ht="12.75">
      <c r="A6" t="s">
        <v>708</v>
      </c>
      <c r="B6" s="276">
        <v>42.6</v>
      </c>
      <c r="C6">
        <f>'[3]Return On Investment'!$C$16</f>
        <v>180</v>
      </c>
      <c r="D6" s="144">
        <f t="shared" si="0"/>
        <v>0.23666666666666666</v>
      </c>
      <c r="E6" s="273">
        <f t="shared" si="1"/>
        <v>14.2</v>
      </c>
      <c r="F6" s="274">
        <f t="shared" si="2"/>
        <v>36.51428571428571</v>
      </c>
      <c r="G6" s="275">
        <f t="shared" si="3"/>
        <v>68.70967741935485</v>
      </c>
      <c r="H6" s="27">
        <f>'[3]Costs per kilometer'!$F$52</f>
        <v>3026000.3554311027</v>
      </c>
      <c r="I6" s="27">
        <f t="shared" si="4"/>
        <v>207915508.2925242</v>
      </c>
    </row>
    <row r="7" spans="1:9" ht="12.75">
      <c r="A7" t="s">
        <v>709</v>
      </c>
      <c r="B7" s="275">
        <v>106.7</v>
      </c>
      <c r="C7">
        <f>'[3]Return On Investment'!$C$16</f>
        <v>180</v>
      </c>
      <c r="D7" s="144">
        <f t="shared" si="0"/>
        <v>0.5927777777777778</v>
      </c>
      <c r="E7" s="273">
        <f t="shared" si="1"/>
        <v>35.56666666666667</v>
      </c>
      <c r="F7" s="274">
        <f t="shared" si="2"/>
        <v>91.45714285714286</v>
      </c>
      <c r="G7" s="275">
        <f t="shared" si="3"/>
        <v>172.09677419354838</v>
      </c>
      <c r="H7" s="27">
        <f>'[3]Costs per kilometer'!$F$52</f>
        <v>3026000.3554311027</v>
      </c>
      <c r="I7" s="27">
        <f t="shared" si="4"/>
        <v>520764899.87822366</v>
      </c>
    </row>
    <row r="8" spans="1:9" ht="12.75">
      <c r="A8" t="s">
        <v>710</v>
      </c>
      <c r="B8" s="275">
        <v>91</v>
      </c>
      <c r="C8">
        <f>'[3]Return On Investment'!$C$16</f>
        <v>180</v>
      </c>
      <c r="D8" s="144">
        <f t="shared" si="0"/>
        <v>0.5055555555555555</v>
      </c>
      <c r="E8" s="273">
        <f t="shared" si="1"/>
        <v>30.333333333333332</v>
      </c>
      <c r="F8" s="274">
        <f t="shared" si="2"/>
        <v>78</v>
      </c>
      <c r="G8" s="275">
        <f t="shared" si="3"/>
        <v>146.7741935483871</v>
      </c>
      <c r="H8" s="27">
        <f>'[3]Costs per kilometer'!$F$52</f>
        <v>3026000.3554311027</v>
      </c>
      <c r="I8" s="27">
        <f t="shared" si="4"/>
        <v>444138761.84553283</v>
      </c>
    </row>
    <row r="9" spans="1:9" ht="12.75">
      <c r="A9" t="s">
        <v>711</v>
      </c>
      <c r="B9" s="275">
        <v>184</v>
      </c>
      <c r="C9">
        <f>'[3]Return On Investment'!$C$16</f>
        <v>180</v>
      </c>
      <c r="D9" s="144">
        <f t="shared" si="0"/>
        <v>1.0222222222222221</v>
      </c>
      <c r="E9" s="273">
        <f t="shared" si="1"/>
        <v>61.33333333333333</v>
      </c>
      <c r="F9" s="274">
        <f t="shared" si="2"/>
        <v>157.71428571428572</v>
      </c>
      <c r="G9" s="275">
        <f t="shared" si="3"/>
        <v>296.7741935483871</v>
      </c>
      <c r="H9" s="27">
        <f>'[3]Costs per kilometer'!$F$52</f>
        <v>3026000.3554311027</v>
      </c>
      <c r="I9" s="27">
        <f t="shared" si="4"/>
        <v>898038815.1601981</v>
      </c>
    </row>
    <row r="10" spans="1:9" ht="12.75">
      <c r="A10" t="s">
        <v>712</v>
      </c>
      <c r="B10" s="275">
        <v>19.9</v>
      </c>
      <c r="C10">
        <f>'[3]Return On Investment'!$C$16</f>
        <v>180</v>
      </c>
      <c r="D10" s="144">
        <f t="shared" si="0"/>
        <v>0.11055555555555555</v>
      </c>
      <c r="E10" s="273">
        <f t="shared" si="1"/>
        <v>6.633333333333333</v>
      </c>
      <c r="F10" s="274">
        <f t="shared" si="2"/>
        <v>17.057142857142857</v>
      </c>
      <c r="G10" s="275">
        <f t="shared" si="3"/>
        <v>32.096774193548384</v>
      </c>
      <c r="H10" s="27">
        <f>'[3]Costs per kilometer'!$F$52</f>
        <v>3026000.3554311027</v>
      </c>
      <c r="I10" s="27">
        <f t="shared" si="4"/>
        <v>97124850.11786926</v>
      </c>
    </row>
    <row r="11" spans="1:9" ht="12.75">
      <c r="A11" t="s">
        <v>713</v>
      </c>
      <c r="B11" s="275">
        <v>22</v>
      </c>
      <c r="C11">
        <f>'[3]Return On Investment'!$C$16</f>
        <v>180</v>
      </c>
      <c r="D11" s="144">
        <f t="shared" si="0"/>
        <v>0.12222222222222222</v>
      </c>
      <c r="E11" s="273">
        <f t="shared" si="1"/>
        <v>7.333333333333333</v>
      </c>
      <c r="F11" s="274">
        <f t="shared" si="2"/>
        <v>18.857142857142858</v>
      </c>
      <c r="G11" s="275">
        <f t="shared" si="3"/>
        <v>35.483870967741936</v>
      </c>
      <c r="H11" s="27">
        <f>'[3]Costs per kilometer'!$F$52</f>
        <v>3026000.3554311027</v>
      </c>
      <c r="I11" s="27">
        <f t="shared" si="4"/>
        <v>107374206.16045849</v>
      </c>
    </row>
    <row r="12" spans="1:9" ht="12.75">
      <c r="A12" t="s">
        <v>714</v>
      </c>
      <c r="B12" s="28">
        <f>SUM(B6+B10)</f>
        <v>62.5</v>
      </c>
      <c r="C12">
        <f>'[3]Return On Investment'!$C$16</f>
        <v>180</v>
      </c>
      <c r="D12" s="144">
        <f t="shared" si="0"/>
        <v>0.3472222222222222</v>
      </c>
      <c r="E12" s="273">
        <f t="shared" si="1"/>
        <v>20.833333333333332</v>
      </c>
      <c r="G12" s="28">
        <f>SUM(G6+G10)</f>
        <v>100.80645161290323</v>
      </c>
      <c r="H12" s="27">
        <f>'[3]Costs per kilometer'!$F$52</f>
        <v>3026000.3554311027</v>
      </c>
      <c r="I12" s="27">
        <f t="shared" si="4"/>
        <v>305040358.4103934</v>
      </c>
    </row>
    <row r="13" spans="4:6" ht="13.5" thickBot="1">
      <c r="D13" s="35"/>
      <c r="E13" s="35"/>
      <c r="F13" s="35"/>
    </row>
    <row r="14" spans="8:9" ht="12.75">
      <c r="H14" s="28"/>
      <c r="I14" s="27"/>
    </row>
    <row r="18" spans="1:4" ht="12.75">
      <c r="A18" s="30" t="s">
        <v>715</v>
      </c>
      <c r="B18" s="30" t="s">
        <v>92</v>
      </c>
      <c r="C18" s="30" t="s">
        <v>716</v>
      </c>
      <c r="D18" s="30" t="s">
        <v>717</v>
      </c>
    </row>
    <row r="19" spans="1:4" ht="12.75">
      <c r="A19" t="s">
        <v>718</v>
      </c>
      <c r="B19">
        <v>6</v>
      </c>
      <c r="C19" s="27">
        <f>'[3]Costs per kilometer'!$F$52</f>
        <v>3026000.3554311027</v>
      </c>
      <c r="D19" s="27">
        <f>SUM(B19*C19)</f>
        <v>18156002.132586617</v>
      </c>
    </row>
    <row r="20" spans="1:4" ht="12.75">
      <c r="A20" t="s">
        <v>697</v>
      </c>
      <c r="B20">
        <v>8</v>
      </c>
      <c r="C20" s="27">
        <f>'[3]Costs per kilometer'!$F$52</f>
        <v>3026000.3554311027</v>
      </c>
      <c r="D20" s="27">
        <f>SUM(B20*C20)</f>
        <v>24208002.84344882</v>
      </c>
    </row>
    <row r="22" spans="1:4" ht="12.75">
      <c r="A22" t="s">
        <v>719</v>
      </c>
      <c r="B22" s="171"/>
      <c r="C22" s="277"/>
      <c r="D22" s="278"/>
    </row>
    <row r="23" spans="2:5" ht="12.75">
      <c r="B23" s="171"/>
      <c r="C23" s="277"/>
      <c r="D23" s="278"/>
      <c r="E23" s="278"/>
    </row>
  </sheetData>
  <printOptions/>
  <pageMargins left="0.75" right="0.75" top="1" bottom="1" header="0.5" footer="0.5"/>
  <pageSetup fitToHeight="1" fitToWidth="1" horizontalDpi="600" verticalDpi="600" orientation="landscape" scale="67" r:id="rId1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0" customWidth="1"/>
  </cols>
  <sheetData>
    <row r="1" spans="1:7" ht="21" customHeight="1" thickBot="1">
      <c r="A1" s="279" t="s">
        <v>720</v>
      </c>
      <c r="B1" s="279"/>
      <c r="C1" s="279"/>
      <c r="D1" s="279"/>
      <c r="E1" s="279"/>
      <c r="F1" s="279"/>
      <c r="G1" s="35"/>
    </row>
    <row r="2" spans="1:2" ht="12.75">
      <c r="A2" t="s">
        <v>721</v>
      </c>
      <c r="B2" t="s">
        <v>722</v>
      </c>
    </row>
    <row r="3" spans="1:2" ht="12.75">
      <c r="A3" t="s">
        <v>723</v>
      </c>
      <c r="B3" t="s">
        <v>285</v>
      </c>
    </row>
    <row r="4" spans="1:2" ht="12.75">
      <c r="A4" t="s">
        <v>724</v>
      </c>
      <c r="B4" t="s">
        <v>696</v>
      </c>
    </row>
    <row r="5" spans="1:2" ht="12.75">
      <c r="A5" t="s">
        <v>725</v>
      </c>
      <c r="B5" t="s">
        <v>726</v>
      </c>
    </row>
    <row r="6" spans="1:2" ht="12.75">
      <c r="A6" t="s">
        <v>727</v>
      </c>
      <c r="B6" t="s">
        <v>728</v>
      </c>
    </row>
    <row r="7" spans="1:2" ht="12.75">
      <c r="A7" t="s">
        <v>729</v>
      </c>
      <c r="B7" t="s">
        <v>730</v>
      </c>
    </row>
    <row r="8" ht="13.5" thickBot="1"/>
    <row r="9" spans="1:7" ht="15.75" thickBot="1">
      <c r="A9" t="s">
        <v>731</v>
      </c>
      <c r="F9" s="51" t="s">
        <v>732</v>
      </c>
      <c r="G9" s="280" t="s">
        <v>733</v>
      </c>
    </row>
    <row r="10" spans="1:7" ht="23.25">
      <c r="A10" s="281" t="s">
        <v>734</v>
      </c>
      <c r="B10" s="282" t="s">
        <v>735</v>
      </c>
      <c r="C10" s="282"/>
      <c r="D10" s="282"/>
      <c r="E10" s="282"/>
      <c r="F10" s="282"/>
      <c r="G10" s="283"/>
    </row>
    <row r="11" spans="1:7" ht="12.75">
      <c r="A11" t="s">
        <v>722</v>
      </c>
      <c r="B11" s="284">
        <v>1</v>
      </c>
      <c r="C11" s="285"/>
      <c r="D11" s="285"/>
      <c r="E11" s="285"/>
      <c r="F11" s="285"/>
      <c r="G11" s="285"/>
    </row>
    <row r="12" spans="1:7" ht="12.75">
      <c r="A12" t="s">
        <v>571</v>
      </c>
      <c r="B12" s="284"/>
      <c r="C12" s="285">
        <v>14</v>
      </c>
      <c r="D12" s="285"/>
      <c r="E12" s="285"/>
      <c r="F12" s="285"/>
      <c r="G12" s="285"/>
    </row>
    <row r="13" spans="1:7" ht="12.75">
      <c r="A13" t="s">
        <v>736</v>
      </c>
      <c r="B13" s="284"/>
      <c r="C13" s="285"/>
      <c r="D13" s="285">
        <v>1</v>
      </c>
      <c r="E13" s="285"/>
      <c r="F13" s="285"/>
      <c r="G13" s="285"/>
    </row>
    <row r="14" spans="1:7" ht="12.75">
      <c r="A14" t="s">
        <v>737</v>
      </c>
      <c r="B14" s="284"/>
      <c r="C14" s="285"/>
      <c r="D14" s="285"/>
      <c r="E14" s="285">
        <v>8</v>
      </c>
      <c r="F14" s="285"/>
      <c r="G14" s="285"/>
    </row>
    <row r="15" spans="1:7" ht="12.75">
      <c r="A15" t="s">
        <v>738</v>
      </c>
      <c r="B15" s="284"/>
      <c r="C15" s="285"/>
      <c r="D15" s="285"/>
      <c r="E15" s="285"/>
      <c r="F15" s="285">
        <v>2</v>
      </c>
      <c r="G15" s="285"/>
    </row>
    <row r="16" spans="1:7" ht="13.5" thickBot="1">
      <c r="A16" s="35" t="s">
        <v>739</v>
      </c>
      <c r="B16" s="286"/>
      <c r="C16" s="287"/>
      <c r="D16" s="287"/>
      <c r="E16" s="287"/>
      <c r="F16" s="287"/>
      <c r="G16" s="287">
        <v>6</v>
      </c>
    </row>
    <row r="17" spans="1:7" ht="12.75">
      <c r="A17" s="18"/>
      <c r="B17" s="18">
        <f aca="true" t="shared" si="0" ref="B17:G17">SUM(B11:B16)</f>
        <v>1</v>
      </c>
      <c r="C17" s="18">
        <f t="shared" si="0"/>
        <v>14</v>
      </c>
      <c r="D17" s="18">
        <f t="shared" si="0"/>
        <v>1</v>
      </c>
      <c r="E17" s="18">
        <f t="shared" si="0"/>
        <v>8</v>
      </c>
      <c r="F17" s="18">
        <f t="shared" si="0"/>
        <v>2</v>
      </c>
      <c r="G17" s="18">
        <f t="shared" si="0"/>
        <v>6</v>
      </c>
    </row>
    <row r="18" spans="1:7" ht="15">
      <c r="A18" s="288" t="s">
        <v>740</v>
      </c>
      <c r="B18" s="288"/>
      <c r="C18" s="289" t="str">
        <f ca="1">CELL("contents",B17)&amp;$G$9&amp;(C17)&amp;$G$9&amp;(D17)&amp;$G$9&amp;(E17)&amp;$G$9&amp;F17&amp;$G$9&amp;G17</f>
        <v>1.14.1.8.2.6</v>
      </c>
      <c r="D18" s="289"/>
      <c r="E18" s="289"/>
      <c r="F18" s="289"/>
      <c r="G18" s="289"/>
    </row>
    <row r="19" ht="12.75">
      <c r="A19" s="4"/>
    </row>
    <row r="20" spans="1:7" ht="23.25">
      <c r="A20" s="281" t="s">
        <v>734</v>
      </c>
      <c r="B20" s="282" t="s">
        <v>735</v>
      </c>
      <c r="C20" s="282"/>
      <c r="D20" s="282"/>
      <c r="E20" s="282"/>
      <c r="F20" s="282"/>
      <c r="G20" s="290"/>
    </row>
    <row r="21" spans="1:7" ht="12.75">
      <c r="A21" t="s">
        <v>722</v>
      </c>
      <c r="B21" s="284">
        <v>1</v>
      </c>
      <c r="C21" s="285"/>
      <c r="D21" s="285"/>
      <c r="E21" s="285"/>
      <c r="F21" s="285"/>
      <c r="G21" s="285"/>
    </row>
    <row r="22" spans="1:7" ht="12.75">
      <c r="A22" t="s">
        <v>562</v>
      </c>
      <c r="B22" s="284"/>
      <c r="C22" s="285">
        <v>17</v>
      </c>
      <c r="D22" s="285"/>
      <c r="E22" s="285"/>
      <c r="F22" s="285"/>
      <c r="G22" s="285"/>
    </row>
    <row r="23" spans="1:7" ht="12.75">
      <c r="A23" t="s">
        <v>741</v>
      </c>
      <c r="B23" s="284"/>
      <c r="C23" s="285"/>
      <c r="D23" s="285">
        <v>14</v>
      </c>
      <c r="E23" s="285"/>
      <c r="F23" s="285"/>
      <c r="G23" s="285"/>
    </row>
    <row r="24" spans="1:7" ht="12.75">
      <c r="A24" t="s">
        <v>742</v>
      </c>
      <c r="B24" s="284"/>
      <c r="C24" s="285"/>
      <c r="D24" s="285"/>
      <c r="E24" s="285">
        <v>1</v>
      </c>
      <c r="F24" s="285"/>
      <c r="G24" s="285"/>
    </row>
    <row r="25" spans="1:7" ht="12.75">
      <c r="A25" t="s">
        <v>738</v>
      </c>
      <c r="B25" s="284"/>
      <c r="C25" s="285"/>
      <c r="D25" s="285"/>
      <c r="E25" s="285"/>
      <c r="F25" s="285">
        <v>16</v>
      </c>
      <c r="G25" s="285"/>
    </row>
    <row r="26" spans="1:7" ht="13.5" thickBot="1">
      <c r="A26" s="35" t="s">
        <v>739</v>
      </c>
      <c r="B26" s="286"/>
      <c r="C26" s="287"/>
      <c r="D26" s="287"/>
      <c r="E26" s="287"/>
      <c r="F26" s="287"/>
      <c r="G26" s="287">
        <v>5</v>
      </c>
    </row>
    <row r="27" spans="1:7" ht="12.75">
      <c r="A27" s="18"/>
      <c r="B27" s="18">
        <v>1</v>
      </c>
      <c r="C27" s="18">
        <f>SUM(C21:C26)</f>
        <v>17</v>
      </c>
      <c r="D27" s="18">
        <f>SUM(D21:D26)</f>
        <v>14</v>
      </c>
      <c r="E27" s="18">
        <f>SUM(E21:E26)</f>
        <v>1</v>
      </c>
      <c r="F27" s="18">
        <f>SUM(F21:F26)</f>
        <v>16</v>
      </c>
      <c r="G27" s="18">
        <f>SUM(G21:G26)</f>
        <v>5</v>
      </c>
    </row>
    <row r="28" spans="1:7" ht="15">
      <c r="A28" s="288" t="s">
        <v>743</v>
      </c>
      <c r="B28" s="288"/>
      <c r="C28" s="289" t="str">
        <f ca="1">CELL("contents",B27)&amp;$G$9&amp;(C27)&amp;$G$9&amp;D27&amp;$G$9&amp;E27&amp;$G$9&amp;F27&amp;$G$9&amp;G27</f>
        <v>1.17.14.1.16.5</v>
      </c>
      <c r="D28" s="289"/>
      <c r="E28" s="289"/>
      <c r="F28" s="289"/>
      <c r="G28" s="289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="111" zoomScaleNormal="111" workbookViewId="0" topLeftCell="A1">
      <selection activeCell="C56" sqref="C56"/>
    </sheetView>
  </sheetViews>
  <sheetFormatPr defaultColWidth="9.140625" defaultRowHeight="12.75"/>
  <cols>
    <col min="1" max="1" width="12.7109375" style="0" customWidth="1"/>
    <col min="2" max="2" width="19.7109375" style="0" customWidth="1"/>
    <col min="3" max="3" width="45.8515625" style="0" customWidth="1"/>
    <col min="4" max="4" width="15.7109375" style="0" customWidth="1"/>
    <col min="5" max="5" width="27.28125" style="0" customWidth="1"/>
    <col min="6" max="6" width="30.8515625" style="0" customWidth="1"/>
    <col min="7" max="9" width="33.7109375" style="0" customWidth="1"/>
  </cols>
  <sheetData>
    <row r="1" spans="1:6" ht="34.5" thickBot="1">
      <c r="A1" s="99" t="s">
        <v>2</v>
      </c>
      <c r="B1" s="35"/>
      <c r="C1" s="35"/>
      <c r="D1" s="35"/>
      <c r="E1" s="35"/>
      <c r="F1" s="35"/>
    </row>
    <row r="2" spans="1:6" ht="24" thickBot="1">
      <c r="A2" s="419" t="s">
        <v>11</v>
      </c>
      <c r="B2" s="279"/>
      <c r="C2" s="279"/>
      <c r="D2" s="35"/>
      <c r="E2" s="310" t="s">
        <v>372</v>
      </c>
      <c r="F2" s="35"/>
    </row>
    <row r="3" ht="12.75">
      <c r="E3" t="s">
        <v>53</v>
      </c>
    </row>
    <row r="4" spans="1:5" ht="33.75">
      <c r="A4" s="1" t="s">
        <v>12</v>
      </c>
      <c r="B4" s="38"/>
      <c r="C4" s="38"/>
      <c r="D4" s="38"/>
      <c r="E4" s="38"/>
    </row>
    <row r="5" spans="1:6" ht="12.75">
      <c r="A5" s="30" t="s">
        <v>55</v>
      </c>
      <c r="B5" s="30" t="s">
        <v>56</v>
      </c>
      <c r="C5" s="30" t="s">
        <v>57</v>
      </c>
      <c r="D5" s="30" t="s">
        <v>58</v>
      </c>
      <c r="E5" s="30" t="s">
        <v>59</v>
      </c>
      <c r="F5" s="30" t="s">
        <v>60</v>
      </c>
    </row>
    <row r="6" spans="1:6" ht="12.75">
      <c r="A6">
        <v>2</v>
      </c>
      <c r="B6" t="s">
        <v>66</v>
      </c>
      <c r="C6" t="s">
        <v>67</v>
      </c>
      <c r="D6" s="27">
        <v>120000</v>
      </c>
      <c r="E6" s="27">
        <f aca="true" t="shared" si="0" ref="E6:E15">SUM(D6*A6)</f>
        <v>240000</v>
      </c>
      <c r="F6" s="23"/>
    </row>
    <row r="7" spans="1:6" ht="12.75">
      <c r="A7">
        <v>2</v>
      </c>
      <c r="B7" t="s">
        <v>66</v>
      </c>
      <c r="C7" s="15" t="s">
        <v>68</v>
      </c>
      <c r="D7" s="27">
        <f>SolarCells!$N$5</f>
        <v>871948</v>
      </c>
      <c r="E7" s="27">
        <f t="shared" si="0"/>
        <v>1743896</v>
      </c>
      <c r="F7" s="23" t="s">
        <v>535</v>
      </c>
    </row>
    <row r="8" spans="1:6" ht="12.75">
      <c r="A8">
        <v>2</v>
      </c>
      <c r="B8" t="s">
        <v>66</v>
      </c>
      <c r="C8" s="15" t="s">
        <v>159</v>
      </c>
      <c r="D8" s="27">
        <f>'Steel and Concrete'!$D$29</f>
        <v>17482.666666666668</v>
      </c>
      <c r="E8" s="27">
        <f t="shared" si="0"/>
        <v>34965.333333333336</v>
      </c>
      <c r="F8" s="23"/>
    </row>
    <row r="9" spans="1:6" ht="12.75">
      <c r="A9">
        <v>2</v>
      </c>
      <c r="B9" t="s">
        <v>66</v>
      </c>
      <c r="C9" s="15" t="s">
        <v>150</v>
      </c>
      <c r="D9" s="27">
        <f>'Steel and Concrete'!$E$15</f>
        <v>1336112.8</v>
      </c>
      <c r="E9" s="27">
        <f t="shared" si="0"/>
        <v>2672225.6</v>
      </c>
      <c r="F9" s="321" t="str">
        <f>SUM((E9/E16)*100)&amp;" %"&amp;" of total cost / kilometer"</f>
        <v>38.204609664203 % of total cost / kilometer</v>
      </c>
    </row>
    <row r="10" spans="1:6" ht="12.75">
      <c r="A10">
        <v>8</v>
      </c>
      <c r="B10" t="s">
        <v>66</v>
      </c>
      <c r="C10" t="s">
        <v>151</v>
      </c>
      <c r="D10" s="27">
        <v>3278</v>
      </c>
      <c r="E10" s="27">
        <f t="shared" si="0"/>
        <v>26224</v>
      </c>
      <c r="F10" s="23" t="s">
        <v>152</v>
      </c>
    </row>
    <row r="11" spans="1:6" ht="12.75">
      <c r="A11">
        <v>1</v>
      </c>
      <c r="B11" t="s">
        <v>66</v>
      </c>
      <c r="C11" t="s">
        <v>69</v>
      </c>
      <c r="D11" s="27">
        <v>16000</v>
      </c>
      <c r="E11" s="27">
        <f t="shared" si="0"/>
        <v>16000</v>
      </c>
      <c r="F11" s="23" t="s">
        <v>798</v>
      </c>
    </row>
    <row r="12" spans="1:6" ht="12.75">
      <c r="A12">
        <v>0.25</v>
      </c>
      <c r="B12" t="s">
        <v>70</v>
      </c>
      <c r="C12" t="s">
        <v>537</v>
      </c>
      <c r="D12" s="27">
        <v>3000000</v>
      </c>
      <c r="E12" s="27">
        <f t="shared" si="0"/>
        <v>750000</v>
      </c>
      <c r="F12" s="23" t="s">
        <v>799</v>
      </c>
    </row>
    <row r="13" spans="1:6" ht="12.75">
      <c r="A13">
        <v>1</v>
      </c>
      <c r="B13" t="s">
        <v>71</v>
      </c>
      <c r="C13" t="s">
        <v>72</v>
      </c>
      <c r="D13" s="27">
        <v>100000</v>
      </c>
      <c r="E13" s="27">
        <f t="shared" si="0"/>
        <v>100000</v>
      </c>
      <c r="F13" s="23" t="s">
        <v>73</v>
      </c>
    </row>
    <row r="14" spans="1:6" ht="12.75">
      <c r="A14">
        <v>1</v>
      </c>
      <c r="B14" t="s">
        <v>66</v>
      </c>
      <c r="C14" t="s">
        <v>245</v>
      </c>
      <c r="D14" s="27">
        <v>100000</v>
      </c>
      <c r="E14" s="27">
        <f t="shared" si="0"/>
        <v>100000</v>
      </c>
      <c r="F14" s="23"/>
    </row>
    <row r="15" spans="1:6" ht="13.5" thickBot="1">
      <c r="A15" s="39">
        <v>2</v>
      </c>
      <c r="B15" s="39" t="s">
        <v>546</v>
      </c>
      <c r="C15" s="39" t="s">
        <v>74</v>
      </c>
      <c r="D15" s="40">
        <f>SUM(200*3278)</f>
        <v>655600</v>
      </c>
      <c r="E15" s="40">
        <f t="shared" si="0"/>
        <v>1311200</v>
      </c>
      <c r="F15" s="322" t="s">
        <v>547</v>
      </c>
    </row>
    <row r="16" spans="4:5" ht="13.5" thickTop="1">
      <c r="D16" s="42" t="s">
        <v>75</v>
      </c>
      <c r="E16" s="27">
        <f>SUM(E6:E15)</f>
        <v>6994510.933333334</v>
      </c>
    </row>
    <row r="17" spans="4:5" ht="12.75">
      <c r="D17" s="51" t="s">
        <v>135</v>
      </c>
      <c r="E17" s="133">
        <v>66</v>
      </c>
    </row>
    <row r="18" spans="4:5" ht="12.75">
      <c r="D18" s="51" t="s">
        <v>137</v>
      </c>
      <c r="E18" s="27">
        <f>SUM(E16/3278)</f>
        <v>2133.773927191377</v>
      </c>
    </row>
    <row r="19" spans="4:6" ht="13.5" customHeight="1">
      <c r="D19" s="51" t="s">
        <v>136</v>
      </c>
      <c r="E19" s="27">
        <f>SUM(E16/3278)*E17</f>
        <v>140829.07919463087</v>
      </c>
      <c r="F19" t="s">
        <v>22</v>
      </c>
    </row>
    <row r="20" spans="1:3" ht="33.75">
      <c r="A20" s="1" t="s">
        <v>356</v>
      </c>
      <c r="B20" s="38"/>
      <c r="C20" s="38"/>
    </row>
    <row r="21" spans="1:6" ht="12.75">
      <c r="A21" s="30" t="s">
        <v>55</v>
      </c>
      <c r="B21" s="30" t="s">
        <v>56</v>
      </c>
      <c r="C21" s="30" t="s">
        <v>57</v>
      </c>
      <c r="D21" s="30" t="s">
        <v>58</v>
      </c>
      <c r="E21" s="30" t="s">
        <v>59</v>
      </c>
      <c r="F21" s="30" t="s">
        <v>60</v>
      </c>
    </row>
    <row r="22" spans="1:5" ht="12.75">
      <c r="A22">
        <v>0</v>
      </c>
      <c r="B22" t="s">
        <v>76</v>
      </c>
      <c r="C22" t="s">
        <v>77</v>
      </c>
      <c r="D22" s="134">
        <v>13000000</v>
      </c>
      <c r="E22" s="27">
        <f>SUM(D22*A22)</f>
        <v>0</v>
      </c>
    </row>
    <row r="23" spans="1:5" ht="12.75">
      <c r="A23">
        <v>0</v>
      </c>
      <c r="B23" t="s">
        <v>76</v>
      </c>
      <c r="C23" t="s">
        <v>381</v>
      </c>
      <c r="D23" s="134">
        <v>3000000</v>
      </c>
      <c r="E23" s="27">
        <f>SUM(D23*A23)</f>
        <v>0</v>
      </c>
    </row>
    <row r="24" spans="1:5" ht="12.75">
      <c r="A24">
        <v>0</v>
      </c>
      <c r="B24" t="s">
        <v>76</v>
      </c>
      <c r="C24" t="s">
        <v>544</v>
      </c>
      <c r="D24" s="134">
        <v>2000000</v>
      </c>
      <c r="E24" s="27">
        <f>SUM(D24*A24)</f>
        <v>0</v>
      </c>
    </row>
    <row r="25" spans="1:5" ht="12.75">
      <c r="A25">
        <v>0</v>
      </c>
      <c r="B25" t="s">
        <v>66</v>
      </c>
      <c r="C25" t="s">
        <v>804</v>
      </c>
      <c r="D25" s="138">
        <f>$E$16</f>
        <v>6994510.933333334</v>
      </c>
      <c r="E25" s="27">
        <f>SUM(D25*A25)</f>
        <v>0</v>
      </c>
    </row>
    <row r="26" spans="1:6" ht="13.5" thickBot="1">
      <c r="A26" s="39">
        <v>0</v>
      </c>
      <c r="B26" s="39" t="s">
        <v>76</v>
      </c>
      <c r="C26" s="39" t="s">
        <v>805</v>
      </c>
      <c r="D26" s="135">
        <v>1000000</v>
      </c>
      <c r="E26" s="40">
        <f>SUM(D26*A26)</f>
        <v>0</v>
      </c>
      <c r="F26" s="39"/>
    </row>
    <row r="27" ht="13.5" thickTop="1">
      <c r="E27" s="27">
        <f>SUM(E22:E26)</f>
        <v>0</v>
      </c>
    </row>
    <row r="28" ht="12.75">
      <c r="E28" s="27"/>
    </row>
    <row r="29" spans="1:5" ht="33">
      <c r="A29" s="1" t="s">
        <v>13</v>
      </c>
      <c r="B29" s="1"/>
      <c r="C29" s="1"/>
      <c r="D29" s="1"/>
      <c r="E29" s="27"/>
    </row>
    <row r="30" spans="1:6" ht="12.75">
      <c r="A30" s="30" t="s">
        <v>55</v>
      </c>
      <c r="B30" s="30" t="s">
        <v>56</v>
      </c>
      <c r="C30" s="30" t="s">
        <v>57</v>
      </c>
      <c r="D30" s="30" t="s">
        <v>58</v>
      </c>
      <c r="E30" s="30" t="s">
        <v>59</v>
      </c>
      <c r="F30" s="30" t="s">
        <v>60</v>
      </c>
    </row>
    <row r="31" spans="1:5" ht="12.75">
      <c r="A31">
        <v>0</v>
      </c>
      <c r="B31" t="s">
        <v>76</v>
      </c>
      <c r="C31" t="s">
        <v>78</v>
      </c>
      <c r="D31" s="137">
        <v>1000000</v>
      </c>
      <c r="E31" s="27">
        <f>SUM(D31*A31)</f>
        <v>0</v>
      </c>
    </row>
    <row r="32" spans="1:5" ht="12.75">
      <c r="A32">
        <v>0</v>
      </c>
      <c r="B32" t="s">
        <v>76</v>
      </c>
      <c r="C32" t="s">
        <v>79</v>
      </c>
      <c r="D32" s="137">
        <v>500000</v>
      </c>
      <c r="E32" s="27">
        <f>SUM(D32*A32)</f>
        <v>0</v>
      </c>
    </row>
    <row r="33" spans="1:5" ht="12.75">
      <c r="A33">
        <v>0</v>
      </c>
      <c r="B33" t="s">
        <v>76</v>
      </c>
      <c r="C33" t="s">
        <v>80</v>
      </c>
      <c r="D33" s="137">
        <v>300000</v>
      </c>
      <c r="E33" s="27">
        <f>SUM(D33*A33)</f>
        <v>0</v>
      </c>
    </row>
    <row r="34" ht="12.75">
      <c r="E34" s="27"/>
    </row>
    <row r="35" ht="12.75">
      <c r="E35" s="27"/>
    </row>
    <row r="36" spans="1:6" ht="33.75">
      <c r="A36" s="1" t="s">
        <v>14</v>
      </c>
      <c r="B36" s="38"/>
      <c r="C36" s="38"/>
      <c r="D36" s="38"/>
      <c r="E36" s="38"/>
      <c r="F36" s="38"/>
    </row>
    <row r="37" spans="1:6" ht="20.25" customHeight="1">
      <c r="A37" s="450">
        <v>13</v>
      </c>
      <c r="B37" s="449" t="s">
        <v>1044</v>
      </c>
      <c r="C37" s="38"/>
      <c r="D37" s="38"/>
      <c r="E37" s="38"/>
      <c r="F37" s="38"/>
    </row>
    <row r="38" spans="1:6" ht="12.75">
      <c r="A38" s="30" t="s">
        <v>55</v>
      </c>
      <c r="B38" s="30" t="s">
        <v>56</v>
      </c>
      <c r="C38" s="30" t="s">
        <v>57</v>
      </c>
      <c r="D38" s="30" t="s">
        <v>58</v>
      </c>
      <c r="E38" s="30" t="s">
        <v>59</v>
      </c>
      <c r="F38" s="30" t="s">
        <v>60</v>
      </c>
    </row>
    <row r="39" spans="1:5" ht="12.75">
      <c r="A39" s="241">
        <v>1331</v>
      </c>
      <c r="B39" t="s">
        <v>66</v>
      </c>
      <c r="C39" s="108" t="s">
        <v>1032</v>
      </c>
      <c r="D39" s="136">
        <f>$E$16</f>
        <v>6994510.933333334</v>
      </c>
      <c r="E39" s="27">
        <f aca="true" t="shared" si="1" ref="E39:E51">SUM(D39*A39)</f>
        <v>9309694052.266666</v>
      </c>
    </row>
    <row r="40" spans="1:5" ht="12.75">
      <c r="A40" s="324">
        <f>SUM(A39*0.621)</f>
        <v>826.551</v>
      </c>
      <c r="B40" t="s">
        <v>40</v>
      </c>
      <c r="C40" s="108" t="s">
        <v>803</v>
      </c>
      <c r="D40" s="136"/>
      <c r="E40" s="27"/>
    </row>
    <row r="41" spans="1:5" ht="12.75">
      <c r="A41" s="241">
        <v>0</v>
      </c>
      <c r="B41" t="s">
        <v>66</v>
      </c>
      <c r="C41" s="108"/>
      <c r="D41" s="136">
        <f>$E$16</f>
        <v>6994510.933333334</v>
      </c>
      <c r="E41" s="27"/>
    </row>
    <row r="42" spans="1:5" ht="12.75">
      <c r="A42" s="241">
        <v>0</v>
      </c>
      <c r="B42" t="s">
        <v>66</v>
      </c>
      <c r="C42" s="108"/>
      <c r="D42" s="136">
        <f>$E$16</f>
        <v>6994510.933333334</v>
      </c>
      <c r="E42" s="27"/>
    </row>
    <row r="43" spans="1:5" ht="12.75">
      <c r="A43" s="241">
        <v>33</v>
      </c>
      <c r="B43" t="s">
        <v>76</v>
      </c>
      <c r="C43" t="s">
        <v>77</v>
      </c>
      <c r="D43" s="27">
        <f>$D$22</f>
        <v>13000000</v>
      </c>
      <c r="E43" s="27">
        <f t="shared" si="1"/>
        <v>429000000</v>
      </c>
    </row>
    <row r="44" spans="1:5" ht="12.75">
      <c r="A44" s="241">
        <v>0</v>
      </c>
      <c r="B44" t="str">
        <f>B23</f>
        <v>Each</v>
      </c>
      <c r="C44" t="str">
        <f>C23</f>
        <v>Cloverleaf Stations "Traveler Station"</v>
      </c>
      <c r="D44" s="27">
        <f>D23</f>
        <v>3000000</v>
      </c>
      <c r="E44" s="27">
        <f t="shared" si="1"/>
        <v>0</v>
      </c>
    </row>
    <row r="45" spans="1:5" ht="12.75">
      <c r="A45" s="241">
        <v>66</v>
      </c>
      <c r="B45" t="str">
        <f>B25</f>
        <v>Kilometer</v>
      </c>
      <c r="C45" t="str">
        <f>C25</f>
        <v>Sidetrack to Local Public Station</v>
      </c>
      <c r="D45" s="27">
        <f>D25</f>
        <v>6994510.933333334</v>
      </c>
      <c r="E45" s="27">
        <f>SUM(D45*A45)</f>
        <v>461637721.6</v>
      </c>
    </row>
    <row r="46" spans="1:5" ht="12.75">
      <c r="A46" s="241">
        <v>0</v>
      </c>
      <c r="B46" t="s">
        <v>76</v>
      </c>
      <c r="C46" t="str">
        <f>C24</f>
        <v>Car Ramp for Car Ferry w/ Parking Structure</v>
      </c>
      <c r="D46" s="27">
        <f>D24</f>
        <v>2000000</v>
      </c>
      <c r="E46" s="27">
        <f t="shared" si="1"/>
        <v>0</v>
      </c>
    </row>
    <row r="47" spans="1:5" ht="12.75">
      <c r="A47" s="241">
        <v>0</v>
      </c>
      <c r="B47" t="s">
        <v>76</v>
      </c>
      <c r="C47" t="str">
        <f>C26</f>
        <v>Remote Public Station, and parking (Basic Structure)</v>
      </c>
      <c r="D47" s="27">
        <f>SUM(D26)</f>
        <v>1000000</v>
      </c>
      <c r="E47" s="27">
        <f t="shared" si="1"/>
        <v>0</v>
      </c>
    </row>
    <row r="48" spans="1:5" ht="12.75">
      <c r="A48" s="241">
        <v>0</v>
      </c>
      <c r="B48" t="s">
        <v>76</v>
      </c>
      <c r="C48" t="s">
        <v>797</v>
      </c>
      <c r="D48" s="27">
        <f>$D$31</f>
        <v>1000000</v>
      </c>
      <c r="E48" s="27">
        <f t="shared" si="1"/>
        <v>0</v>
      </c>
    </row>
    <row r="49" spans="1:5" ht="12.75">
      <c r="A49" s="241">
        <v>0</v>
      </c>
      <c r="B49" t="s">
        <v>76</v>
      </c>
      <c r="C49" t="s">
        <v>545</v>
      </c>
      <c r="D49" s="27">
        <f>$D$32</f>
        <v>500000</v>
      </c>
      <c r="E49" s="27">
        <f t="shared" si="1"/>
        <v>0</v>
      </c>
    </row>
    <row r="50" spans="1:5" ht="12.75">
      <c r="A50" s="241">
        <v>1313</v>
      </c>
      <c r="B50" t="s">
        <v>76</v>
      </c>
      <c r="C50" t="s">
        <v>543</v>
      </c>
      <c r="D50" s="27">
        <v>300000</v>
      </c>
      <c r="E50" s="27">
        <f t="shared" si="1"/>
        <v>393900000</v>
      </c>
    </row>
    <row r="51" spans="1:5" ht="13.5" thickBot="1">
      <c r="A51" s="242">
        <v>0</v>
      </c>
      <c r="B51" s="39" t="s">
        <v>76</v>
      </c>
      <c r="C51" s="39" t="s">
        <v>806</v>
      </c>
      <c r="D51" s="40">
        <f>$D$33</f>
        <v>300000</v>
      </c>
      <c r="E51" s="40">
        <f t="shared" si="1"/>
        <v>0</v>
      </c>
    </row>
    <row r="52" spans="1:5" ht="13.5" thickTop="1">
      <c r="A52" s="244">
        <f>SUM(A48+A49)</f>
        <v>0</v>
      </c>
      <c r="B52" t="s">
        <v>81</v>
      </c>
      <c r="C52" s="454" t="s">
        <v>82</v>
      </c>
      <c r="D52" s="454"/>
      <c r="E52" s="44">
        <f>SUM(E39:E51)</f>
        <v>10594231773.866667</v>
      </c>
    </row>
    <row r="53" spans="1:6" ht="12.75">
      <c r="A53" s="244">
        <f>$A$51</f>
        <v>0</v>
      </c>
      <c r="B53" t="s">
        <v>83</v>
      </c>
      <c r="C53" s="146"/>
      <c r="D53" s="252" t="str">
        <f>CONCATENATE("Cost of Steel at ",'Steel and Concrete'!C34," dollars per ton"," at ",'Steel and Concrete'!D34," tons per section")</f>
        <v>Cost of Steel at 1200 dollars per ton at 30 tons per section</v>
      </c>
      <c r="E53" s="253">
        <f>'Steel and Concrete'!$K$34</f>
        <v>2748357216</v>
      </c>
      <c r="F53" s="251">
        <f>SUM(E53/E54)</f>
        <v>0.350293290535006</v>
      </c>
    </row>
    <row r="54" spans="1:6" ht="12.75">
      <c r="A54" s="244">
        <f>SUM(A53+A52)</f>
        <v>0</v>
      </c>
      <c r="B54" t="s">
        <v>944</v>
      </c>
      <c r="C54" s="146"/>
      <c r="D54" s="146" t="s">
        <v>611</v>
      </c>
      <c r="E54" s="44">
        <f>SUM(E52-E53)</f>
        <v>7845874557.866667</v>
      </c>
      <c r="F54" s="251">
        <f>SUM(E54/E52)</f>
        <v>0.7405798481038037</v>
      </c>
    </row>
    <row r="55" spans="1:6" ht="12.75">
      <c r="A55" s="244">
        <f>SUM(A43+A44+A46)</f>
        <v>33</v>
      </c>
      <c r="B55" t="s">
        <v>265</v>
      </c>
      <c r="C55" s="146"/>
      <c r="D55" s="146"/>
      <c r="E55" s="44"/>
      <c r="F55" s="251"/>
    </row>
    <row r="56" spans="1:5" ht="12.75">
      <c r="A56" s="244">
        <f>SUM(A61/A55)</f>
        <v>39.78787878787879</v>
      </c>
      <c r="B56" t="s">
        <v>801</v>
      </c>
      <c r="C56" s="146"/>
      <c r="D56" s="146"/>
      <c r="E56" s="44"/>
    </row>
    <row r="57" spans="1:2" ht="12.75">
      <c r="A57" s="193">
        <f>SUM(A39+A41+A42+A45)</f>
        <v>1397</v>
      </c>
      <c r="B57" t="s">
        <v>267</v>
      </c>
    </row>
    <row r="58" spans="1:2" ht="12.75">
      <c r="A58" s="193">
        <f>SUM(A57*0.621)</f>
        <v>867.537</v>
      </c>
      <c r="B58" s="18" t="s">
        <v>266</v>
      </c>
    </row>
    <row r="59" spans="1:5" ht="12.75">
      <c r="A59" s="246">
        <f>SUM(A55/2)/A58</f>
        <v>0.019019361710221006</v>
      </c>
      <c r="B59" s="18" t="s">
        <v>542</v>
      </c>
      <c r="C59" s="45"/>
      <c r="D59" s="45"/>
      <c r="E59" s="46"/>
    </row>
    <row r="60" spans="1:2" ht="12.75">
      <c r="A60" s="245">
        <f>SUM(A52+A53+A50)/A58</f>
        <v>1.5134801166981926</v>
      </c>
      <c r="B60" s="45" t="s">
        <v>272</v>
      </c>
    </row>
    <row r="61" spans="1:2" ht="12.75">
      <c r="A61" s="244">
        <f>SUM(A49:A51)</f>
        <v>1313</v>
      </c>
      <c r="B61" s="178" t="s">
        <v>775</v>
      </c>
    </row>
    <row r="62" spans="1:2" ht="12.75">
      <c r="A62" s="244"/>
      <c r="B62" s="178"/>
    </row>
    <row r="63" spans="4:5" ht="23.25">
      <c r="D63" s="47" t="s">
        <v>609</v>
      </c>
      <c r="E63" s="309">
        <f>SUM(E52/(A39+A41+A42+A45))</f>
        <v>7583558.893247435</v>
      </c>
    </row>
    <row r="64" spans="4:5" ht="23.25">
      <c r="D64" s="47" t="s">
        <v>610</v>
      </c>
      <c r="E64" s="309">
        <f>SUM(E52/A58)</f>
        <v>12211850.069641601</v>
      </c>
    </row>
    <row r="65" spans="2:4" ht="19.5" customHeight="1">
      <c r="B65" s="51"/>
      <c r="C65" s="43" t="s">
        <v>382</v>
      </c>
      <c r="D65" s="51"/>
    </row>
    <row r="66" spans="2:5" ht="12.75">
      <c r="B66" s="66" t="s">
        <v>57</v>
      </c>
      <c r="C66" s="30" t="s">
        <v>117</v>
      </c>
      <c r="D66" s="30" t="s">
        <v>59</v>
      </c>
      <c r="E66" s="30" t="s">
        <v>56</v>
      </c>
    </row>
    <row r="67" spans="2:5" ht="12.75">
      <c r="B67" s="51" t="s">
        <v>118</v>
      </c>
      <c r="C67" s="67">
        <v>2.5</v>
      </c>
      <c r="D67" s="51">
        <f>SUM(C67*1.609)</f>
        <v>4.0225</v>
      </c>
      <c r="E67" s="68" t="s">
        <v>93</v>
      </c>
    </row>
    <row r="68" spans="2:5" ht="12.75">
      <c r="B68" s="51" t="s">
        <v>119</v>
      </c>
      <c r="C68" s="69">
        <v>4</v>
      </c>
      <c r="D68" s="51">
        <f>SUM(C68*0.621)</f>
        <v>2.484</v>
      </c>
      <c r="E68" s="68" t="s">
        <v>40</v>
      </c>
    </row>
    <row r="70" ht="12.75">
      <c r="C70" s="15" t="s">
        <v>372</v>
      </c>
    </row>
  </sheetData>
  <sheetProtection/>
  <mergeCells count="1">
    <mergeCell ref="C52:D52"/>
  </mergeCells>
  <hyperlinks>
    <hyperlink ref="C7" location="SolarCells!A1" display="Solar Panel 72&quot; wide x  1 Kilometer long."/>
    <hyperlink ref="C8" location="'Steel and Concrete'!A1" display="Concrete 3'x3' x 12' concrete Piers"/>
    <hyperlink ref="C9" location="'Steel and Concrete'!A1" display="Steel for Rail Tubing  / Stanchion / Central Support"/>
    <hyperlink ref="C70" location="Cost_per_Mile_lock__stock__and_barrell" display="#Cost_per_Mile_lock__stock__and_barrell"/>
    <hyperlink ref="D53" location="Typical_Costs_for_Steel_per_ton" display="Typical_Costs_for_Steel_per_ton"/>
    <hyperlink ref="E53" location="Total_cost_Steel_per_ton" display="Total_cost_Steel_per_ton"/>
    <hyperlink ref="E2" location="Cost_per_Mile_lock__stock__and_barrell" display="#Cost_per_Mile_lock__stock__and_barrell"/>
  </hyperlinks>
  <printOptions/>
  <pageMargins left="0.75" right="0.75" top="1" bottom="1" header="0.5" footer="0.5"/>
  <pageSetup fitToHeight="1" fitToWidth="1" horizontalDpi="600" verticalDpi="600" orientation="portrait" scale="59" r:id="rId1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workbookViewId="0" topLeftCell="A43">
      <selection activeCell="D85" sqref="D85"/>
    </sheetView>
  </sheetViews>
  <sheetFormatPr defaultColWidth="9.140625" defaultRowHeight="12.75"/>
  <cols>
    <col min="1" max="1" width="10.57421875" style="0" customWidth="1"/>
    <col min="2" max="2" width="60.57421875" style="0" customWidth="1"/>
    <col min="3" max="4" width="28.8515625" style="0" customWidth="1"/>
    <col min="5" max="5" width="37.57421875" style="0" customWidth="1"/>
    <col min="6" max="6" width="24.7109375" style="0" customWidth="1"/>
    <col min="7" max="7" width="0" style="0" hidden="1" customWidth="1"/>
    <col min="8" max="9" width="15.00390625" style="0" hidden="1" customWidth="1"/>
    <col min="10" max="10" width="0" style="0" hidden="1" customWidth="1"/>
  </cols>
  <sheetData>
    <row r="1" ht="27.75" customHeight="1">
      <c r="A1" s="1" t="s">
        <v>192</v>
      </c>
    </row>
    <row r="2" spans="1:5" ht="24.75" customHeight="1">
      <c r="A2" s="100"/>
      <c r="B2" s="1"/>
      <c r="C2" s="76" t="s">
        <v>134</v>
      </c>
      <c r="D2" s="77"/>
      <c r="E2" s="78"/>
    </row>
    <row r="4" ht="24" thickBot="1">
      <c r="A4" s="6" t="s">
        <v>21</v>
      </c>
    </row>
    <row r="5" spans="2:5" ht="12.75">
      <c r="B5" s="8" t="s">
        <v>30</v>
      </c>
      <c r="C5" s="97">
        <v>0</v>
      </c>
      <c r="E5" s="9"/>
    </row>
    <row r="6" spans="1:5" ht="20.25">
      <c r="A6" s="48" t="s">
        <v>84</v>
      </c>
      <c r="B6" s="48"/>
      <c r="C6" s="48"/>
      <c r="D6" s="48"/>
      <c r="E6" s="49"/>
    </row>
    <row r="7" spans="2:3" ht="12.75">
      <c r="B7" s="195" t="s">
        <v>374</v>
      </c>
      <c r="C7" s="191">
        <f>'Installation Checklist'!$A$57</f>
        <v>1397</v>
      </c>
    </row>
    <row r="8" spans="1:3" ht="13.5" thickBot="1">
      <c r="A8" s="12"/>
      <c r="B8" s="195" t="s">
        <v>373</v>
      </c>
      <c r="C8" s="194">
        <f>'Installation Checklist'!$A$58</f>
        <v>867.537</v>
      </c>
    </row>
    <row r="9" spans="1:6" ht="18.75">
      <c r="A9" s="12"/>
      <c r="B9" s="203" t="s">
        <v>395</v>
      </c>
      <c r="C9" s="204">
        <v>5</v>
      </c>
      <c r="E9" t="s">
        <v>750</v>
      </c>
      <c r="F9" s="27">
        <v>0.1</v>
      </c>
    </row>
    <row r="10" spans="1:6" ht="19.5" thickBot="1">
      <c r="A10" s="192" t="s">
        <v>31</v>
      </c>
      <c r="B10" s="203" t="s">
        <v>396</v>
      </c>
      <c r="C10" s="205">
        <v>10</v>
      </c>
      <c r="E10" t="s">
        <v>751</v>
      </c>
      <c r="F10">
        <v>750</v>
      </c>
    </row>
    <row r="11" spans="1:6" ht="15">
      <c r="A11" s="87">
        <v>1</v>
      </c>
      <c r="B11" t="s">
        <v>32</v>
      </c>
      <c r="C11" s="96">
        <v>0.32</v>
      </c>
      <c r="D11" t="s">
        <v>33</v>
      </c>
      <c r="F11" s="27">
        <f>SUM(F10*F9)</f>
        <v>75</v>
      </c>
    </row>
    <row r="12" spans="1:4" ht="15.75" thickBot="1">
      <c r="A12" s="87">
        <v>2</v>
      </c>
      <c r="B12" t="s">
        <v>34</v>
      </c>
      <c r="C12" s="95">
        <v>0</v>
      </c>
      <c r="D12" t="s">
        <v>35</v>
      </c>
    </row>
    <row r="13" spans="1:4" ht="16.5" customHeight="1">
      <c r="A13" s="87">
        <v>3</v>
      </c>
      <c r="B13" s="14" t="s">
        <v>85</v>
      </c>
      <c r="C13" s="139">
        <f>'Installation Checklist'!$A$52</f>
        <v>0</v>
      </c>
      <c r="D13" s="15" t="s">
        <v>36</v>
      </c>
    </row>
    <row r="14" spans="1:4" ht="16.5" customHeight="1" thickBot="1">
      <c r="A14" s="87">
        <v>4</v>
      </c>
      <c r="B14" s="14" t="s">
        <v>141</v>
      </c>
      <c r="C14" s="139">
        <f>'Installation Checklist'!$A$53</f>
        <v>0</v>
      </c>
      <c r="D14" s="15" t="s">
        <v>36</v>
      </c>
    </row>
    <row r="15" spans="1:5" ht="16.5" customHeight="1" thickBot="1">
      <c r="A15" s="87">
        <v>5</v>
      </c>
      <c r="B15" s="14" t="s">
        <v>202</v>
      </c>
      <c r="C15" s="106">
        <v>5000</v>
      </c>
      <c r="D15" s="16" t="s">
        <v>203</v>
      </c>
      <c r="E15" s="81"/>
    </row>
    <row r="16" spans="1:5" ht="16.5" customHeight="1">
      <c r="A16" s="87">
        <v>6</v>
      </c>
      <c r="B16" s="14" t="s">
        <v>205</v>
      </c>
      <c r="C16" s="107">
        <v>8.25E-05</v>
      </c>
      <c r="D16" s="118" t="s">
        <v>217</v>
      </c>
      <c r="E16" s="117"/>
    </row>
    <row r="17" spans="1:5" ht="16.5" customHeight="1" thickBot="1">
      <c r="A17" s="87">
        <v>7</v>
      </c>
      <c r="B17" s="14" t="s">
        <v>204</v>
      </c>
      <c r="C17" s="80">
        <f>SUM(C16*C15)</f>
        <v>0.4125</v>
      </c>
      <c r="D17" s="16"/>
      <c r="E17" s="81"/>
    </row>
    <row r="18" spans="1:5" ht="16.5" customHeight="1" thickBot="1">
      <c r="A18" s="87">
        <v>8</v>
      </c>
      <c r="B18" s="13" t="s">
        <v>37</v>
      </c>
      <c r="C18" s="80">
        <f>SUM(C11)-(C11*C12)</f>
        <v>0.32</v>
      </c>
      <c r="D18" s="16" t="s">
        <v>142</v>
      </c>
      <c r="E18" s="82"/>
    </row>
    <row r="19" spans="1:5" ht="16.5" customHeight="1" thickBot="1">
      <c r="A19" s="87">
        <v>9</v>
      </c>
      <c r="B19" s="13" t="s">
        <v>38</v>
      </c>
      <c r="C19" s="94">
        <v>60</v>
      </c>
      <c r="D19" s="13" t="s">
        <v>39</v>
      </c>
      <c r="E19" s="83"/>
    </row>
    <row r="20" spans="1:5" ht="16.5" customHeight="1" thickBot="1">
      <c r="A20" s="87">
        <v>10</v>
      </c>
      <c r="B20" s="13" t="s">
        <v>86</v>
      </c>
      <c r="C20" s="35">
        <v>40</v>
      </c>
      <c r="D20" s="13"/>
      <c r="E20" s="83"/>
    </row>
    <row r="21" spans="1:5" ht="16.5" customHeight="1" thickBot="1">
      <c r="A21" s="87">
        <v>11</v>
      </c>
      <c r="B21" s="13" t="s">
        <v>218</v>
      </c>
      <c r="C21" s="119">
        <v>20</v>
      </c>
      <c r="D21" s="13" t="s">
        <v>40</v>
      </c>
      <c r="E21" s="81"/>
    </row>
    <row r="22" spans="1:5" ht="16.5" customHeight="1" thickBot="1">
      <c r="A22" s="87">
        <v>12</v>
      </c>
      <c r="B22" s="86" t="s">
        <v>219</v>
      </c>
      <c r="C22" s="120">
        <v>60</v>
      </c>
      <c r="D22" s="86" t="s">
        <v>40</v>
      </c>
      <c r="E22" s="81"/>
    </row>
    <row r="23" spans="1:5" ht="16.5" customHeight="1" thickBot="1">
      <c r="A23" s="87">
        <v>13</v>
      </c>
      <c r="B23" s="20" t="s">
        <v>41</v>
      </c>
      <c r="C23" s="93">
        <v>200</v>
      </c>
      <c r="D23" s="13" t="s">
        <v>42</v>
      </c>
      <c r="E23" s="81"/>
    </row>
    <row r="24" spans="1:5" ht="16.5" customHeight="1" thickBot="1">
      <c r="A24" s="87">
        <v>14</v>
      </c>
      <c r="B24" s="121" t="s">
        <v>224</v>
      </c>
      <c r="C24" s="120">
        <v>200</v>
      </c>
      <c r="D24" s="121" t="s">
        <v>225</v>
      </c>
      <c r="E24" s="81"/>
    </row>
    <row r="25" spans="1:5" ht="16.5" customHeight="1">
      <c r="A25" s="87">
        <v>15</v>
      </c>
      <c r="B25" s="13" t="s">
        <v>220</v>
      </c>
      <c r="C25" s="21">
        <f>SUM($C$21/$C$23)</f>
        <v>0.1</v>
      </c>
      <c r="D25" s="22" t="s">
        <v>43</v>
      </c>
      <c r="E25" s="81"/>
    </row>
    <row r="26" spans="1:5" ht="16.5" customHeight="1">
      <c r="A26" s="87">
        <v>16</v>
      </c>
      <c r="B26" s="13" t="s">
        <v>221</v>
      </c>
      <c r="C26" s="21">
        <f>SUM(60*$C$25)</f>
        <v>6</v>
      </c>
      <c r="D26" s="13" t="s">
        <v>87</v>
      </c>
      <c r="E26" s="81"/>
    </row>
    <row r="27" spans="1:5" ht="16.5" customHeight="1">
      <c r="A27" s="87">
        <v>17</v>
      </c>
      <c r="B27" s="86" t="s">
        <v>227</v>
      </c>
      <c r="C27" s="21">
        <f>SUM(C21/50)*60</f>
        <v>24</v>
      </c>
      <c r="D27" s="86" t="s">
        <v>87</v>
      </c>
      <c r="E27" s="81"/>
    </row>
    <row r="28" spans="1:5" ht="16.5" customHeight="1">
      <c r="A28" s="87">
        <v>18</v>
      </c>
      <c r="B28" s="86" t="s">
        <v>160</v>
      </c>
      <c r="C28" s="21">
        <f>SUM(C27-C26)</f>
        <v>18</v>
      </c>
      <c r="D28" s="86" t="s">
        <v>229</v>
      </c>
      <c r="E28" s="81"/>
    </row>
    <row r="29" spans="1:5" ht="16.5" customHeight="1" thickBot="1">
      <c r="A29" s="87">
        <v>19</v>
      </c>
      <c r="B29" s="121" t="s">
        <v>161</v>
      </c>
      <c r="C29" s="122">
        <f>SUM(20*(C28/60))</f>
        <v>6</v>
      </c>
      <c r="D29" s="121" t="s">
        <v>230</v>
      </c>
      <c r="E29" s="81"/>
    </row>
    <row r="30" spans="1:5" ht="16.5" customHeight="1">
      <c r="A30" s="87">
        <v>20</v>
      </c>
      <c r="B30" s="13" t="s">
        <v>222</v>
      </c>
      <c r="C30" s="21">
        <f>SUM(C22/C24)</f>
        <v>0.3</v>
      </c>
      <c r="D30" s="86" t="s">
        <v>43</v>
      </c>
      <c r="E30" s="81"/>
    </row>
    <row r="31" spans="1:5" ht="16.5" customHeight="1">
      <c r="A31" s="87">
        <v>21</v>
      </c>
      <c r="B31" s="13" t="s">
        <v>223</v>
      </c>
      <c r="C31" s="21">
        <f>SUM(60*$C$30)</f>
        <v>18</v>
      </c>
      <c r="D31" s="86" t="s">
        <v>87</v>
      </c>
      <c r="E31" s="81"/>
    </row>
    <row r="32" spans="1:5" ht="16.5" customHeight="1">
      <c r="A32" s="87">
        <v>22</v>
      </c>
      <c r="B32" s="86" t="s">
        <v>228</v>
      </c>
      <c r="C32" s="21">
        <f>SUM(C22/50)*60</f>
        <v>72</v>
      </c>
      <c r="D32" s="86" t="s">
        <v>87</v>
      </c>
      <c r="E32" s="81"/>
    </row>
    <row r="33" spans="1:5" ht="16.5" customHeight="1">
      <c r="A33" s="87">
        <v>23</v>
      </c>
      <c r="B33" s="13" t="s">
        <v>226</v>
      </c>
      <c r="C33" s="21">
        <f>SUM(C32-C31)</f>
        <v>54</v>
      </c>
      <c r="D33" s="86" t="s">
        <v>229</v>
      </c>
      <c r="E33" s="81"/>
    </row>
    <row r="34" spans="1:5" ht="16.5" customHeight="1" thickBot="1">
      <c r="A34" s="87">
        <v>24</v>
      </c>
      <c r="B34" s="123" t="s">
        <v>161</v>
      </c>
      <c r="C34" s="122">
        <f>SUM(C33/60)*20</f>
        <v>18</v>
      </c>
      <c r="D34" s="121" t="s">
        <v>230</v>
      </c>
      <c r="E34" s="81"/>
    </row>
    <row r="35" spans="1:5" s="184" customFormat="1" ht="16.5" customHeight="1">
      <c r="A35" s="183">
        <v>25</v>
      </c>
      <c r="B35" s="196" t="s">
        <v>371</v>
      </c>
      <c r="C35" s="187">
        <f>SUM(C19*C13)*(1440/$C$26)</f>
        <v>0</v>
      </c>
      <c r="E35" s="185"/>
    </row>
    <row r="36" spans="1:5" s="184" customFormat="1" ht="16.5" customHeight="1" thickBot="1">
      <c r="A36" s="87">
        <v>26</v>
      </c>
      <c r="B36" s="196" t="s">
        <v>369</v>
      </c>
      <c r="C36" s="188">
        <v>0.25</v>
      </c>
      <c r="E36" s="185"/>
    </row>
    <row r="37" spans="1:5" s="184" customFormat="1" ht="16.5" customHeight="1">
      <c r="A37" s="87">
        <v>27</v>
      </c>
      <c r="B37" s="196" t="s">
        <v>370</v>
      </c>
      <c r="C37" s="186">
        <f>SUM(C35*C36)</f>
        <v>0</v>
      </c>
      <c r="E37" s="185"/>
    </row>
    <row r="38" spans="1:5" s="184" customFormat="1" ht="16.5" customHeight="1">
      <c r="A38" s="87"/>
      <c r="B38" s="196" t="s">
        <v>392</v>
      </c>
      <c r="C38" s="187">
        <f>SUM(C14)*(1440/$C$26)</f>
        <v>0</v>
      </c>
      <c r="E38" s="185"/>
    </row>
    <row r="39" spans="1:5" s="184" customFormat="1" ht="16.5" customHeight="1" thickBot="1">
      <c r="A39" s="87"/>
      <c r="B39" s="196" t="s">
        <v>393</v>
      </c>
      <c r="C39" s="188">
        <v>0.8</v>
      </c>
      <c r="E39" s="185"/>
    </row>
    <row r="40" spans="1:5" s="184" customFormat="1" ht="16.5" customHeight="1">
      <c r="A40" s="87"/>
      <c r="B40" s="196" t="s">
        <v>394</v>
      </c>
      <c r="C40" s="186">
        <f>SUM(C39*C38)</f>
        <v>0</v>
      </c>
      <c r="E40" s="185"/>
    </row>
    <row r="41" spans="1:5" ht="16.5" customHeight="1">
      <c r="A41" s="183">
        <v>28</v>
      </c>
      <c r="B41" t="s">
        <v>207</v>
      </c>
      <c r="C41" s="75">
        <f>SUM(C14*C15)*(1440/C31)</f>
        <v>0</v>
      </c>
      <c r="D41" s="23"/>
      <c r="E41" s="83"/>
    </row>
    <row r="42" spans="1:5" ht="16.5" customHeight="1">
      <c r="A42" s="87">
        <v>29</v>
      </c>
      <c r="B42" s="13" t="s">
        <v>390</v>
      </c>
      <c r="C42" s="126">
        <f>SUM($C$18*$C$21)</f>
        <v>6.4</v>
      </c>
      <c r="D42" s="125" t="s">
        <v>206</v>
      </c>
      <c r="E42" s="81"/>
    </row>
    <row r="43" spans="1:5" ht="16.5" customHeight="1">
      <c r="A43" s="87">
        <v>30</v>
      </c>
      <c r="B43" s="125" t="s">
        <v>391</v>
      </c>
      <c r="C43" s="124">
        <f>SUM($C$17*$C$22)</f>
        <v>24.75</v>
      </c>
      <c r="D43" s="125" t="s">
        <v>206</v>
      </c>
      <c r="E43" s="81"/>
    </row>
    <row r="44" spans="1:5" ht="16.5" customHeight="1">
      <c r="A44" s="183">
        <v>31</v>
      </c>
      <c r="B44" t="s">
        <v>45</v>
      </c>
      <c r="C44" s="18">
        <f>SUM(C23*24)</f>
        <v>4800</v>
      </c>
      <c r="D44" s="127"/>
      <c r="E44" s="83"/>
    </row>
    <row r="45" spans="1:5" ht="16.5" customHeight="1">
      <c r="A45" s="87">
        <v>32</v>
      </c>
      <c r="B45" t="s">
        <v>46</v>
      </c>
      <c r="C45" s="18">
        <f>SUM(C23*24)*C13</f>
        <v>0</v>
      </c>
      <c r="D45" s="127"/>
      <c r="E45" s="83"/>
    </row>
    <row r="46" spans="1:5" ht="16.5" customHeight="1" thickBot="1">
      <c r="A46" s="87">
        <v>33</v>
      </c>
      <c r="B46" s="35" t="s">
        <v>212</v>
      </c>
      <c r="C46" s="35">
        <f>SUM(C13*C19)</f>
        <v>0</v>
      </c>
      <c r="D46" s="35" t="s">
        <v>47</v>
      </c>
      <c r="E46" s="81"/>
    </row>
    <row r="47" spans="1:5" ht="16.5" customHeight="1">
      <c r="A47" s="183">
        <v>34</v>
      </c>
      <c r="B47" s="13" t="s">
        <v>172</v>
      </c>
      <c r="C47" s="16">
        <f>SUM(C18*C37)</f>
        <v>0</v>
      </c>
      <c r="D47" s="81" t="s">
        <v>44</v>
      </c>
      <c r="E47" s="81"/>
    </row>
    <row r="48" spans="1:5" ht="16.5" customHeight="1">
      <c r="A48" s="87">
        <v>35</v>
      </c>
      <c r="B48" s="13" t="s">
        <v>173</v>
      </c>
      <c r="C48" s="16">
        <f>SUM(C41*C16)</f>
        <v>0</v>
      </c>
      <c r="D48" s="81"/>
      <c r="E48" s="81"/>
    </row>
    <row r="49" spans="1:5" s="184" customFormat="1" ht="16.5" customHeight="1">
      <c r="A49" s="87">
        <v>36</v>
      </c>
      <c r="B49" s="184" t="s">
        <v>368</v>
      </c>
      <c r="C49" s="186">
        <f>$C$37</f>
        <v>0</v>
      </c>
      <c r="D49" s="185"/>
      <c r="E49" s="185"/>
    </row>
    <row r="50" spans="1:5" ht="15" customHeight="1">
      <c r="A50" s="183">
        <v>37</v>
      </c>
      <c r="B50" t="s">
        <v>143</v>
      </c>
      <c r="C50" s="50">
        <f>SUM((C20-C19)*C13*(24/C25))</f>
        <v>0</v>
      </c>
      <c r="D50" s="81"/>
      <c r="E50" s="81"/>
    </row>
    <row r="51" spans="1:5" ht="15" customHeight="1">
      <c r="A51" s="87">
        <v>38</v>
      </c>
      <c r="B51" t="s">
        <v>88</v>
      </c>
      <c r="C51" s="189" t="e">
        <f>SUM(C50/(C49+C50))</f>
        <v>#DIV/0!</v>
      </c>
      <c r="D51" s="81"/>
      <c r="E51" s="81"/>
    </row>
    <row r="52" spans="1:5" ht="16.5" customHeight="1">
      <c r="A52" s="87">
        <v>39</v>
      </c>
      <c r="B52" t="s">
        <v>139</v>
      </c>
      <c r="C52" s="17">
        <f>SUM(C46*C18)</f>
        <v>0</v>
      </c>
      <c r="D52" s="81" t="s">
        <v>48</v>
      </c>
      <c r="E52" s="81"/>
    </row>
    <row r="53" spans="1:5" ht="16.5" customHeight="1">
      <c r="A53" s="183">
        <v>40</v>
      </c>
      <c r="B53" s="109" t="s">
        <v>349</v>
      </c>
      <c r="C53" s="172">
        <f>SUM(C47*C18)</f>
        <v>0</v>
      </c>
      <c r="D53" s="81" t="s">
        <v>48</v>
      </c>
      <c r="E53" s="81"/>
    </row>
    <row r="54" spans="1:5" ht="16.5" customHeight="1">
      <c r="A54" s="87">
        <v>41</v>
      </c>
      <c r="B54" s="109" t="s">
        <v>270</v>
      </c>
      <c r="C54" s="172">
        <f>SUM($C$37*$C$18)</f>
        <v>0</v>
      </c>
      <c r="D54" s="81"/>
      <c r="E54" s="81"/>
    </row>
    <row r="55" spans="1:5" ht="16.5" customHeight="1">
      <c r="A55" s="87">
        <v>42</v>
      </c>
      <c r="B55" s="109" t="s">
        <v>271</v>
      </c>
      <c r="C55" s="172">
        <f>SUM(C18*C41)</f>
        <v>0</v>
      </c>
      <c r="D55" s="81"/>
      <c r="E55" s="81"/>
    </row>
    <row r="56" spans="1:5" ht="16.5" customHeight="1">
      <c r="A56" s="183">
        <v>43</v>
      </c>
      <c r="B56" s="109"/>
      <c r="C56" s="172"/>
      <c r="D56" s="81"/>
      <c r="E56" s="81"/>
    </row>
    <row r="57" spans="1:5" ht="16.5" customHeight="1">
      <c r="A57" s="87">
        <v>44</v>
      </c>
      <c r="B57" s="202" t="s">
        <v>397</v>
      </c>
      <c r="C57" s="190">
        <f>SUM(C37*C9)</f>
        <v>0</v>
      </c>
      <c r="E57" s="81"/>
    </row>
    <row r="58" spans="1:5" ht="16.5" customHeight="1">
      <c r="A58" s="87">
        <v>45</v>
      </c>
      <c r="B58" s="202" t="s">
        <v>398</v>
      </c>
      <c r="C58" s="190">
        <f>SUM(C57*30)</f>
        <v>0</v>
      </c>
      <c r="E58" s="81"/>
    </row>
    <row r="59" spans="1:5" ht="16.5" customHeight="1">
      <c r="A59" s="183">
        <v>46</v>
      </c>
      <c r="B59" s="202" t="s">
        <v>399</v>
      </c>
      <c r="C59" s="190">
        <f>SUM(C57*365)</f>
        <v>0</v>
      </c>
      <c r="D59" s="104"/>
      <c r="E59" s="81"/>
    </row>
    <row r="60" spans="1:5" ht="23.25" customHeight="1">
      <c r="A60" s="87">
        <v>47</v>
      </c>
      <c r="B60" s="202" t="s">
        <v>401</v>
      </c>
      <c r="C60" s="190">
        <f>SUM(C57/'Installation Checklist'!A58)</f>
        <v>0</v>
      </c>
      <c r="D60" s="104"/>
      <c r="E60" s="81"/>
    </row>
    <row r="61" spans="1:5" ht="16.5" customHeight="1">
      <c r="A61" s="87">
        <v>48</v>
      </c>
      <c r="B61" s="202" t="s">
        <v>400</v>
      </c>
      <c r="C61" s="190">
        <f>SUM(C40*C10)</f>
        <v>0</v>
      </c>
      <c r="D61" s="81"/>
      <c r="E61" s="81"/>
    </row>
    <row r="62" spans="1:5" ht="16.5" customHeight="1">
      <c r="A62" s="183">
        <v>49</v>
      </c>
      <c r="B62" s="202" t="s">
        <v>402</v>
      </c>
      <c r="C62" s="190">
        <f>SUM(C61*30)</f>
        <v>0</v>
      </c>
      <c r="D62" s="81"/>
      <c r="E62" s="81"/>
    </row>
    <row r="63" spans="1:5" ht="16.5" customHeight="1">
      <c r="A63" s="183"/>
      <c r="B63" s="202" t="s">
        <v>420</v>
      </c>
      <c r="C63" s="190">
        <f>SUM(C62*12)</f>
        <v>0</v>
      </c>
      <c r="D63" s="81"/>
      <c r="E63" s="81"/>
    </row>
    <row r="64" spans="1:5" ht="16.5" customHeight="1">
      <c r="A64" s="183"/>
      <c r="B64" s="202" t="s">
        <v>403</v>
      </c>
      <c r="C64" s="190">
        <f>SUM(C61/'Installation Checklist'!A58)</f>
        <v>0</v>
      </c>
      <c r="D64" s="81"/>
      <c r="E64" s="81"/>
    </row>
    <row r="65" spans="1:5" ht="16.5" customHeight="1">
      <c r="A65" s="183"/>
      <c r="B65" s="206" t="s">
        <v>404</v>
      </c>
      <c r="C65" s="207">
        <f>SUM(C64+C60)</f>
        <v>0</v>
      </c>
      <c r="D65" s="81"/>
      <c r="E65" s="81"/>
    </row>
    <row r="66" spans="1:5" ht="16.5" customHeight="1">
      <c r="A66" s="183"/>
      <c r="B66" s="206" t="s">
        <v>419</v>
      </c>
      <c r="C66" s="207">
        <f>SUM(C59+C63)</f>
        <v>0</v>
      </c>
      <c r="D66" s="81"/>
      <c r="E66" s="81"/>
    </row>
    <row r="67" spans="1:5" ht="16.5" customHeight="1">
      <c r="A67" s="87">
        <v>50</v>
      </c>
      <c r="B67" s="109" t="s">
        <v>215</v>
      </c>
      <c r="C67" s="172">
        <f>SUM(C42*C16)</f>
        <v>0.000528</v>
      </c>
      <c r="E67" s="81"/>
    </row>
    <row r="68" spans="1:9" ht="16.5" customHeight="1">
      <c r="A68" s="87">
        <v>51</v>
      </c>
      <c r="B68" s="109" t="s">
        <v>138</v>
      </c>
      <c r="C68" s="172">
        <f>SUM(C54+(C54*C52))</f>
        <v>0</v>
      </c>
      <c r="E68" s="81"/>
      <c r="G68">
        <v>50</v>
      </c>
      <c r="H68" s="102">
        <v>140826000</v>
      </c>
      <c r="I68" s="102">
        <f>+H68*0.7</f>
        <v>98578200</v>
      </c>
    </row>
    <row r="69" spans="1:9" ht="16.5" customHeight="1">
      <c r="A69" s="183">
        <v>52</v>
      </c>
      <c r="B69" s="173" t="s">
        <v>213</v>
      </c>
      <c r="C69" s="174">
        <f>SUM(C54+C67)</f>
        <v>0.000528</v>
      </c>
      <c r="E69" s="81"/>
      <c r="G69">
        <v>60</v>
      </c>
      <c r="H69" s="102">
        <v>167650000</v>
      </c>
      <c r="I69" s="102">
        <f>+H69*0.7</f>
        <v>117355000</v>
      </c>
    </row>
    <row r="70" spans="1:9" ht="16.5" customHeight="1" thickBot="1">
      <c r="A70" s="87">
        <v>53</v>
      </c>
      <c r="B70" s="175" t="s">
        <v>232</v>
      </c>
      <c r="C70" s="176">
        <f>SUM(C67:C68)</f>
        <v>0.000528</v>
      </c>
      <c r="D70" s="35"/>
      <c r="G70">
        <v>70</v>
      </c>
      <c r="H70" s="102">
        <v>194475000</v>
      </c>
      <c r="I70" s="102">
        <f>+H70*0.7</f>
        <v>136132500</v>
      </c>
    </row>
    <row r="71" spans="1:5" ht="16.5" customHeight="1">
      <c r="A71" s="87">
        <v>54</v>
      </c>
      <c r="B71" t="s">
        <v>214</v>
      </c>
      <c r="C71" s="17">
        <f>SUM($C$37*$C$18)</f>
        <v>0</v>
      </c>
      <c r="D71" s="81"/>
      <c r="E71" s="81"/>
    </row>
    <row r="72" spans="1:5" ht="16.5" customHeight="1">
      <c r="A72" s="183">
        <v>55</v>
      </c>
      <c r="B72" t="s">
        <v>215</v>
      </c>
      <c r="C72" s="17">
        <f>SUM(C41*C16)</f>
        <v>0</v>
      </c>
      <c r="E72" s="81"/>
    </row>
    <row r="73" spans="1:9" ht="16.5" customHeight="1">
      <c r="A73" s="87">
        <v>56</v>
      </c>
      <c r="B73" t="s">
        <v>138</v>
      </c>
      <c r="C73" s="17" t="e">
        <f>SUM(C71+(C71*C51))</f>
        <v>#DIV/0!</v>
      </c>
      <c r="E73" s="81"/>
      <c r="G73">
        <v>50</v>
      </c>
      <c r="H73" s="102">
        <v>140826000</v>
      </c>
      <c r="I73" s="102">
        <f>+H73*0.7</f>
        <v>98578200</v>
      </c>
    </row>
    <row r="74" spans="1:9" ht="16.5" customHeight="1">
      <c r="A74" s="87">
        <v>57</v>
      </c>
      <c r="B74" s="41" t="s">
        <v>213</v>
      </c>
      <c r="C74" s="110">
        <f>SUM(C71+C72)</f>
        <v>0</v>
      </c>
      <c r="E74" s="81"/>
      <c r="G74">
        <v>60</v>
      </c>
      <c r="H74" s="102">
        <v>167650000</v>
      </c>
      <c r="I74" s="102">
        <f aca="true" t="shared" si="0" ref="I74:I80">+H74*0.7</f>
        <v>117355000</v>
      </c>
    </row>
    <row r="75" spans="1:9" ht="16.5" customHeight="1" thickBot="1">
      <c r="A75" s="183">
        <v>58</v>
      </c>
      <c r="B75" s="35" t="s">
        <v>232</v>
      </c>
      <c r="C75" s="37" t="e">
        <f>SUM(C72:C73)</f>
        <v>#DIV/0!</v>
      </c>
      <c r="D75" s="35"/>
      <c r="G75">
        <v>70</v>
      </c>
      <c r="H75" s="102">
        <v>194475000</v>
      </c>
      <c r="I75" s="102">
        <f t="shared" si="0"/>
        <v>136132500</v>
      </c>
    </row>
    <row r="76" spans="1:9" ht="15" customHeight="1">
      <c r="A76" s="87">
        <v>59</v>
      </c>
      <c r="B76" s="85" t="s">
        <v>144</v>
      </c>
      <c r="C76" s="17">
        <f>SUM((C11-C18)*$C$35)*$C$19*$C$18</f>
        <v>0</v>
      </c>
      <c r="D76" t="s">
        <v>89</v>
      </c>
      <c r="G76">
        <v>75</v>
      </c>
      <c r="H76" s="102">
        <v>207887000</v>
      </c>
      <c r="I76" s="102">
        <f t="shared" si="0"/>
        <v>145520900</v>
      </c>
    </row>
    <row r="77" spans="1:9" ht="15" customHeight="1" thickBot="1">
      <c r="A77" s="87">
        <v>60</v>
      </c>
      <c r="B77" s="128" t="s">
        <v>90</v>
      </c>
      <c r="C77" s="37">
        <f>SUM(C76*365)</f>
        <v>0</v>
      </c>
      <c r="D77" s="35"/>
      <c r="G77">
        <v>80</v>
      </c>
      <c r="H77" s="102">
        <v>221298000</v>
      </c>
      <c r="I77" s="102">
        <f t="shared" si="0"/>
        <v>154908600</v>
      </c>
    </row>
    <row r="78" spans="1:9" ht="15">
      <c r="A78" s="183">
        <v>61</v>
      </c>
      <c r="B78" s="85" t="s">
        <v>426</v>
      </c>
      <c r="C78" s="27">
        <f>SUM($C$57*30)</f>
        <v>0</v>
      </c>
      <c r="G78">
        <v>85</v>
      </c>
      <c r="H78" s="102">
        <v>234710000</v>
      </c>
      <c r="I78" s="102">
        <f t="shared" si="0"/>
        <v>164297000</v>
      </c>
    </row>
    <row r="79" spans="1:9" ht="15">
      <c r="A79" s="87">
        <v>62</v>
      </c>
      <c r="B79" s="85" t="s">
        <v>427</v>
      </c>
      <c r="C79" s="105">
        <f>SUM(C78*12)</f>
        <v>0</v>
      </c>
      <c r="G79">
        <v>95</v>
      </c>
      <c r="H79" s="102">
        <v>261535000</v>
      </c>
      <c r="I79" s="102">
        <f t="shared" si="0"/>
        <v>183074500</v>
      </c>
    </row>
    <row r="80" spans="1:9" ht="18">
      <c r="A80" s="10"/>
      <c r="B80" s="84"/>
      <c r="C80" s="52"/>
      <c r="D80" s="24"/>
      <c r="E80" s="25"/>
      <c r="G80">
        <v>100</v>
      </c>
      <c r="H80" s="102">
        <v>274947000</v>
      </c>
      <c r="I80" s="102">
        <f t="shared" si="0"/>
        <v>192462900</v>
      </c>
    </row>
    <row r="81" spans="3:4" s="19" customFormat="1" ht="15.75">
      <c r="C81" s="115" t="s">
        <v>153</v>
      </c>
      <c r="D81" s="116">
        <f>'Installation Checklist'!$E$52+('Installation Checklist'!$E$52*C5)</f>
        <v>10594231773.866667</v>
      </c>
    </row>
    <row r="82" spans="3:4" s="19" customFormat="1" ht="15.75">
      <c r="C82" s="115" t="s">
        <v>421</v>
      </c>
      <c r="D82" s="116">
        <f>$C$66</f>
        <v>0</v>
      </c>
    </row>
    <row r="83" spans="3:5" s="19" customFormat="1" ht="15.75">
      <c r="C83" s="115" t="s">
        <v>422</v>
      </c>
      <c r="D83" s="19" t="e">
        <f>SUM(D81/D82)</f>
        <v>#DIV/0!</v>
      </c>
      <c r="E83" s="19" t="s">
        <v>423</v>
      </c>
    </row>
    <row r="84" spans="3:4" s="19" customFormat="1" ht="15.75">
      <c r="C84" s="115" t="s">
        <v>428</v>
      </c>
      <c r="D84" s="208">
        <v>0.32</v>
      </c>
    </row>
    <row r="85" spans="3:4" s="19" customFormat="1" ht="15.75">
      <c r="C85" s="115" t="s">
        <v>429</v>
      </c>
      <c r="D85" s="220" t="e">
        <f>SUM(D81/(D82*D84))</f>
        <v>#DIV/0!</v>
      </c>
    </row>
    <row r="86" spans="3:4" s="19" customFormat="1" ht="15">
      <c r="C86" s="26" t="s">
        <v>140</v>
      </c>
      <c r="D86" s="111">
        <v>18</v>
      </c>
    </row>
    <row r="87" spans="3:4" s="19" customFormat="1" ht="15">
      <c r="C87" s="26" t="s">
        <v>233</v>
      </c>
      <c r="D87" s="111">
        <v>4</v>
      </c>
    </row>
    <row r="88" spans="3:5" s="19" customFormat="1" ht="15">
      <c r="C88" s="26" t="s">
        <v>424</v>
      </c>
      <c r="D88" s="112">
        <f>ProductionTimeLine!$O$7</f>
        <v>14.419791666666669</v>
      </c>
      <c r="E88" s="19" t="s">
        <v>425</v>
      </c>
    </row>
    <row r="89" spans="3:4" s="19" customFormat="1" ht="15">
      <c r="C89" s="26" t="s">
        <v>154</v>
      </c>
      <c r="D89" s="113">
        <f>SUM(D86:D88)</f>
        <v>36.41979166666667</v>
      </c>
    </row>
    <row r="90" spans="3:4" s="19" customFormat="1" ht="15">
      <c r="C90" s="26" t="s">
        <v>231</v>
      </c>
      <c r="D90" s="113">
        <f>SUM(D89/12)</f>
        <v>3.034982638888889</v>
      </c>
    </row>
    <row r="91" spans="3:4" s="19" customFormat="1" ht="15.75">
      <c r="C91" s="26" t="s">
        <v>216</v>
      </c>
      <c r="D91" s="114" t="e">
        <f>SUM(12*D83)+D89</f>
        <v>#DIV/0!</v>
      </c>
    </row>
    <row r="92" spans="3:4" s="19" customFormat="1" ht="15.75">
      <c r="C92" s="26" t="s">
        <v>418</v>
      </c>
      <c r="D92" s="73" t="e">
        <f>SUM(D91/12)</f>
        <v>#DIV/0!</v>
      </c>
    </row>
    <row r="93" spans="3:4" s="19" customFormat="1" ht="15">
      <c r="C93" s="26" t="s">
        <v>91</v>
      </c>
      <c r="D93" s="101">
        <f>SUM($C$78*12)</f>
        <v>0</v>
      </c>
    </row>
  </sheetData>
  <sheetProtection/>
  <hyperlinks>
    <hyperlink ref="D13" location="'Costs per kilometer'!A42" display="'Costs per kilometer'!A42"/>
    <hyperlink ref="D14" location="'Costs per kilometer'!A42" display="'Costs per kilometer'!A42"/>
    <hyperlink ref="C65" location="Trans_Rev.per.day.per.mile" display="Trans_Rev.per.day.per.mile"/>
  </hyperlinks>
  <printOptions/>
  <pageMargins left="0.75" right="0.75" top="1" bottom="1" header="0.5" footer="0.5"/>
  <pageSetup fitToHeight="1" fitToWidth="1" horizontalDpi="600" verticalDpi="600" orientation="portrait" scale="43" r:id="rId2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4:E39"/>
  <sheetViews>
    <sheetView workbookViewId="0" topLeftCell="A2">
      <selection activeCell="C11" sqref="C11"/>
    </sheetView>
  </sheetViews>
  <sheetFormatPr defaultColWidth="9.140625" defaultRowHeight="12.75"/>
  <cols>
    <col min="1" max="1" width="19.140625" style="0" bestFit="1" customWidth="1"/>
    <col min="2" max="2" width="11.28125" style="0" bestFit="1" customWidth="1"/>
    <col min="3" max="3" width="13.00390625" style="0" customWidth="1"/>
    <col min="4" max="4" width="16.8515625" style="0" customWidth="1"/>
    <col min="5" max="5" width="14.7109375" style="0" customWidth="1"/>
  </cols>
  <sheetData>
    <row r="4" spans="1:4" ht="18">
      <c r="A4" s="420" t="s">
        <v>986</v>
      </c>
      <c r="B4" s="423"/>
      <c r="C4" s="423"/>
      <c r="D4" s="423"/>
    </row>
    <row r="5" spans="1:2" ht="12.75">
      <c r="A5" t="s">
        <v>898</v>
      </c>
      <c r="B5">
        <v>5280</v>
      </c>
    </row>
    <row r="6" spans="1:2" ht="12.75">
      <c r="A6" t="s">
        <v>987</v>
      </c>
      <c r="B6">
        <v>80</v>
      </c>
    </row>
    <row r="7" spans="1:2" ht="12.75">
      <c r="A7" t="s">
        <v>122</v>
      </c>
      <c r="B7">
        <f>SUM(B6*B5)</f>
        <v>422400</v>
      </c>
    </row>
    <row r="8" spans="1:3" ht="12.75">
      <c r="A8" t="s">
        <v>615</v>
      </c>
      <c r="B8" s="424">
        <f>SUM(B7/43560)</f>
        <v>9.696969696969697</v>
      </c>
      <c r="C8" t="s">
        <v>988</v>
      </c>
    </row>
    <row r="9" spans="1:3" ht="12.75">
      <c r="A9" t="s">
        <v>989</v>
      </c>
      <c r="B9" s="424">
        <v>2.5</v>
      </c>
      <c r="C9" t="s">
        <v>990</v>
      </c>
    </row>
    <row r="10" spans="1:3" ht="12.75">
      <c r="A10" t="s">
        <v>991</v>
      </c>
      <c r="B10" s="424">
        <f>SUM(B9*B8)</f>
        <v>24.242424242424242</v>
      </c>
      <c r="C10" t="s">
        <v>992</v>
      </c>
    </row>
    <row r="12" spans="1:5" ht="25.5">
      <c r="A12" s="425" t="s">
        <v>993</v>
      </c>
      <c r="B12" s="425" t="s">
        <v>994</v>
      </c>
      <c r="C12" s="425" t="s">
        <v>995</v>
      </c>
      <c r="D12" s="426" t="s">
        <v>996</v>
      </c>
      <c r="E12" s="426" t="s">
        <v>997</v>
      </c>
    </row>
    <row r="13" spans="1:5" ht="12.75">
      <c r="A13" s="427" t="s">
        <v>998</v>
      </c>
      <c r="B13" s="427">
        <v>0.5</v>
      </c>
      <c r="C13" s="427"/>
      <c r="D13" s="428" t="s">
        <v>996</v>
      </c>
      <c r="E13" s="428"/>
    </row>
    <row r="14" spans="1:5" ht="12.75">
      <c r="A14" s="427" t="s">
        <v>989</v>
      </c>
      <c r="B14" s="427">
        <v>2.5</v>
      </c>
      <c r="C14" s="427">
        <v>0.75</v>
      </c>
      <c r="D14" s="428" t="s">
        <v>996</v>
      </c>
      <c r="E14" s="428"/>
    </row>
    <row r="15" spans="1:5" ht="12.75">
      <c r="A15" s="427" t="s">
        <v>999</v>
      </c>
      <c r="B15" s="427">
        <v>6</v>
      </c>
      <c r="C15" s="427">
        <v>4</v>
      </c>
      <c r="D15" s="428" t="s">
        <v>996</v>
      </c>
      <c r="E15" s="428"/>
    </row>
    <row r="18" ht="12.75">
      <c r="A18" s="429" t="s">
        <v>1000</v>
      </c>
    </row>
    <row r="19" spans="1:3" ht="12.75">
      <c r="A19" s="423" t="s">
        <v>122</v>
      </c>
      <c r="B19" s="11"/>
      <c r="C19" s="11"/>
    </row>
    <row r="20" spans="1:3" ht="12.75">
      <c r="A20" s="429" t="s">
        <v>987</v>
      </c>
      <c r="B20" s="71">
        <v>9000</v>
      </c>
      <c r="C20" t="s">
        <v>1001</v>
      </c>
    </row>
    <row r="21" spans="1:3" ht="12.75">
      <c r="A21" s="430" t="s">
        <v>898</v>
      </c>
      <c r="B21" s="75">
        <v>9000</v>
      </c>
      <c r="C21" s="18" t="s">
        <v>1001</v>
      </c>
    </row>
    <row r="22" spans="1:3" ht="12.75">
      <c r="A22" s="431" t="s">
        <v>122</v>
      </c>
      <c r="B22" s="261">
        <f>SUM(B20*B21)</f>
        <v>81000000</v>
      </c>
      <c r="C22" t="s">
        <v>1002</v>
      </c>
    </row>
    <row r="23" spans="2:3" ht="12.75">
      <c r="B23" s="261">
        <f>SUM(B22/43560)</f>
        <v>1859.504132231405</v>
      </c>
      <c r="C23" t="s">
        <v>615</v>
      </c>
    </row>
    <row r="25" spans="1:4" ht="12.75">
      <c r="A25" s="11" t="s">
        <v>615</v>
      </c>
      <c r="B25" s="11" t="s">
        <v>615</v>
      </c>
      <c r="C25" s="11" t="s">
        <v>1003</v>
      </c>
      <c r="D25" s="11" t="s">
        <v>1004</v>
      </c>
    </row>
    <row r="26" spans="1:4" ht="12.75">
      <c r="A26" t="s">
        <v>1005</v>
      </c>
      <c r="B26" s="244">
        <v>918</v>
      </c>
      <c r="C26">
        <v>6</v>
      </c>
      <c r="D26" s="71">
        <f>SUM(C26*B26)</f>
        <v>5508</v>
      </c>
    </row>
    <row r="27" spans="1:4" ht="12.75">
      <c r="A27" t="s">
        <v>989</v>
      </c>
      <c r="B27" s="244">
        <f>SUM(B23-B26)</f>
        <v>941.504132231405</v>
      </c>
      <c r="C27">
        <v>2.3</v>
      </c>
      <c r="D27" s="273">
        <f>SUM(C27*B27)</f>
        <v>2165.4595041322314</v>
      </c>
    </row>
    <row r="28" spans="2:5" ht="12.75">
      <c r="B28" s="244"/>
      <c r="D28" s="71">
        <f>SUM(D26:D27)</f>
        <v>7673.459504132232</v>
      </c>
      <c r="E28" t="s">
        <v>1006</v>
      </c>
    </row>
    <row r="29" ht="12.75">
      <c r="C29" t="s">
        <v>1007</v>
      </c>
    </row>
    <row r="32" ht="12.75">
      <c r="A32" t="s">
        <v>1008</v>
      </c>
    </row>
    <row r="33" ht="12.75">
      <c r="A33" t="s">
        <v>1009</v>
      </c>
    </row>
    <row r="34" spans="1:3" ht="12.75">
      <c r="A34" t="s">
        <v>1010</v>
      </c>
      <c r="B34">
        <v>19.8</v>
      </c>
      <c r="C34" t="s">
        <v>203</v>
      </c>
    </row>
    <row r="35" spans="1:3" ht="12.75">
      <c r="A35" t="s">
        <v>1011</v>
      </c>
      <c r="B35">
        <v>6.8</v>
      </c>
      <c r="C35" t="s">
        <v>203</v>
      </c>
    </row>
    <row r="36" spans="1:3" ht="12.75">
      <c r="A36" t="s">
        <v>1012</v>
      </c>
      <c r="B36">
        <v>5.4</v>
      </c>
      <c r="C36" t="s">
        <v>203</v>
      </c>
    </row>
    <row r="39" ht="12.75">
      <c r="A39" t="s">
        <v>1013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zoomScale="98" zoomScaleNormal="98" workbookViewId="0" topLeftCell="A7">
      <selection activeCell="C46" sqref="C46"/>
    </sheetView>
  </sheetViews>
  <sheetFormatPr defaultColWidth="9.140625" defaultRowHeight="12.75"/>
  <cols>
    <col min="1" max="1" width="8.28125" style="0" customWidth="1"/>
    <col min="2" max="2" width="69.140625" style="0" customWidth="1"/>
    <col min="3" max="3" width="23.7109375" style="0" customWidth="1"/>
    <col min="4" max="4" width="27.57421875" style="0" customWidth="1"/>
    <col min="5" max="5" width="24.7109375" style="0" customWidth="1"/>
    <col min="6" max="6" width="0" style="0" hidden="1" customWidth="1"/>
    <col min="7" max="9" width="15.00390625" style="0" hidden="1" customWidth="1"/>
  </cols>
  <sheetData>
    <row r="1" ht="27.75" customHeight="1">
      <c r="A1" s="1" t="s">
        <v>2</v>
      </c>
    </row>
    <row r="2" spans="1:4" ht="24.75" customHeight="1" thickBot="1">
      <c r="A2" s="85" t="s">
        <v>3</v>
      </c>
      <c r="B2" s="1"/>
      <c r="D2" s="340">
        <f>SUM(C11/C40)</f>
        <v>2.6083333333333334</v>
      </c>
    </row>
    <row r="3" ht="15.75" thickBot="1">
      <c r="B3" s="329" t="s">
        <v>134</v>
      </c>
    </row>
    <row r="4" spans="2:3" ht="15.75" thickBot="1">
      <c r="B4" s="8" t="s">
        <v>4</v>
      </c>
      <c r="C4" s="320">
        <v>0</v>
      </c>
    </row>
    <row r="5" spans="1:4" ht="12" customHeight="1">
      <c r="A5" s="317"/>
      <c r="B5" s="48"/>
      <c r="C5" s="319"/>
      <c r="D5" s="318"/>
    </row>
    <row r="6" spans="1:4" ht="18" customHeight="1" thickBot="1">
      <c r="A6" s="192" t="s">
        <v>31</v>
      </c>
      <c r="B6" s="323"/>
      <c r="C6" s="308">
        <f>'Installation Checklist'!$A$58</f>
        <v>867.537</v>
      </c>
      <c r="D6" s="300" t="s">
        <v>777</v>
      </c>
    </row>
    <row r="7" spans="1:3" ht="18" customHeight="1" thickBot="1">
      <c r="A7" s="338">
        <v>1</v>
      </c>
      <c r="B7" t="s">
        <v>778</v>
      </c>
      <c r="C7" s="325">
        <v>0.05</v>
      </c>
    </row>
    <row r="8" spans="1:3" ht="18" customHeight="1" thickBot="1">
      <c r="A8" s="338">
        <v>2</v>
      </c>
      <c r="B8" t="s">
        <v>779</v>
      </c>
      <c r="C8" s="326">
        <v>1</v>
      </c>
    </row>
    <row r="9" spans="1:4" ht="18" customHeight="1" thickBot="1">
      <c r="A9" s="338">
        <v>3</v>
      </c>
      <c r="B9" t="s">
        <v>808</v>
      </c>
      <c r="C9" s="326">
        <v>1</v>
      </c>
      <c r="D9" t="s">
        <v>807</v>
      </c>
    </row>
    <row r="10" spans="1:4" ht="18" customHeight="1" thickBot="1">
      <c r="A10" s="338">
        <v>4</v>
      </c>
      <c r="B10" t="s">
        <v>810</v>
      </c>
      <c r="C10" s="329">
        <v>10</v>
      </c>
      <c r="D10" t="s">
        <v>812</v>
      </c>
    </row>
    <row r="11" spans="1:4" ht="18" customHeight="1" thickBot="1">
      <c r="A11" s="338">
        <v>5</v>
      </c>
      <c r="B11" t="s">
        <v>825</v>
      </c>
      <c r="C11" s="329">
        <v>313</v>
      </c>
      <c r="D11" t="s">
        <v>40</v>
      </c>
    </row>
    <row r="12" spans="1:4" ht="18" customHeight="1">
      <c r="A12" s="333">
        <v>6</v>
      </c>
      <c r="B12" s="336" t="s">
        <v>809</v>
      </c>
      <c r="C12" s="335">
        <f>'Installation Checklist'!$A$50</f>
        <v>1313</v>
      </c>
      <c r="D12" s="336"/>
    </row>
    <row r="13" spans="1:4" ht="18" customHeight="1">
      <c r="A13" s="333">
        <v>7</v>
      </c>
      <c r="B13" s="336" t="s">
        <v>811</v>
      </c>
      <c r="C13" s="335">
        <f>SUM(C12*C10)</f>
        <v>13130</v>
      </c>
      <c r="D13" s="336"/>
    </row>
    <row r="14" spans="1:4" ht="18" customHeight="1">
      <c r="A14" s="333">
        <v>8</v>
      </c>
      <c r="B14" s="336" t="str">
        <f>CONCATENATE("Total Ton / Mile in Freight @ ",C11," Miles")</f>
        <v>Total Ton / Mile in Freight @ 313 Miles</v>
      </c>
      <c r="C14" s="335">
        <f>SUM(C13*C11)</f>
        <v>4109690</v>
      </c>
      <c r="D14" s="86" t="s">
        <v>953</v>
      </c>
    </row>
    <row r="15" spans="1:4" ht="18" customHeight="1" thickBot="1">
      <c r="A15" s="338">
        <v>9</v>
      </c>
      <c r="B15" s="405" t="s">
        <v>18</v>
      </c>
      <c r="C15" s="406">
        <f>SUM(C14*365*C18)</f>
        <v>1500036850</v>
      </c>
      <c r="D15" s="121" t="s">
        <v>20</v>
      </c>
    </row>
    <row r="16" spans="1:4" ht="18" customHeight="1">
      <c r="A16" s="333">
        <v>10</v>
      </c>
      <c r="B16" s="336" t="str">
        <f>CONCATENATE("Average Freight Delivery Time of ",C11," Miles @ ",C40,"MPH")</f>
        <v>Average Freight Delivery Time of 313 Miles @ 120MPH</v>
      </c>
      <c r="C16" s="339">
        <f>ROUND(D2,2)</f>
        <v>2.61</v>
      </c>
      <c r="D16" s="336" t="s">
        <v>43</v>
      </c>
    </row>
    <row r="17" spans="1:4" ht="18" customHeight="1" thickBot="1">
      <c r="A17" s="333">
        <v>11</v>
      </c>
      <c r="B17" s="86" t="str">
        <f>CONCATENATE("Total Number of Freight ",C16," Hour Time Blocks / Day")</f>
        <v>Total Number of Freight 2.61 Hour Time Blocks / Day</v>
      </c>
      <c r="C17" s="342">
        <f>SUM(C12*(24/C16))</f>
        <v>12073.563218390806</v>
      </c>
      <c r="D17" s="86" t="s">
        <v>954</v>
      </c>
    </row>
    <row r="18" spans="1:4" ht="18" customHeight="1" thickBot="1">
      <c r="A18" s="333">
        <v>12</v>
      </c>
      <c r="B18" s="121" t="s">
        <v>815</v>
      </c>
      <c r="C18" s="328">
        <v>1</v>
      </c>
      <c r="D18" s="121" t="s">
        <v>782</v>
      </c>
    </row>
    <row r="19" spans="1:4" ht="18" customHeight="1" thickBot="1">
      <c r="A19" s="338">
        <v>13</v>
      </c>
      <c r="B19" s="334" t="s">
        <v>955</v>
      </c>
      <c r="C19" s="335">
        <f>'Installation Checklist'!$A$49</f>
        <v>0</v>
      </c>
      <c r="D19" s="337"/>
    </row>
    <row r="20" spans="1:4" ht="18" customHeight="1" thickBot="1">
      <c r="A20" s="333">
        <v>14</v>
      </c>
      <c r="B20" s="13" t="s">
        <v>38</v>
      </c>
      <c r="C20" s="327">
        <v>80</v>
      </c>
      <c r="D20" s="13" t="s">
        <v>39</v>
      </c>
    </row>
    <row r="21" spans="1:4" ht="18" customHeight="1" thickBot="1">
      <c r="A21" s="333">
        <v>15</v>
      </c>
      <c r="B21" s="13" t="s">
        <v>780</v>
      </c>
      <c r="C21" s="327">
        <v>20</v>
      </c>
      <c r="D21" s="13" t="s">
        <v>87</v>
      </c>
    </row>
    <row r="22" spans="1:4" ht="18" customHeight="1">
      <c r="A22" s="333">
        <v>16</v>
      </c>
      <c r="B22" s="86" t="s">
        <v>827</v>
      </c>
      <c r="C22" s="416">
        <f>SUM(C19*C20)</f>
        <v>0</v>
      </c>
      <c r="D22" s="86"/>
    </row>
    <row r="23" spans="1:4" ht="18" customHeight="1">
      <c r="A23" s="338">
        <v>17</v>
      </c>
      <c r="B23" s="86" t="str">
        <f>CONCATENATE("Total Number of ",C21," Minute Time Blocks / Day")</f>
        <v>Total Number of 20 Minute Time Blocks / Day</v>
      </c>
      <c r="C23" s="416">
        <f>SUM(60*24)/C21</f>
        <v>72</v>
      </c>
      <c r="D23" s="86"/>
    </row>
    <row r="24" spans="1:4" ht="18" customHeight="1" thickBot="1">
      <c r="A24" s="333">
        <v>18</v>
      </c>
      <c r="B24" s="86" t="s">
        <v>781</v>
      </c>
      <c r="C24" s="416">
        <f>SUM(C22*C23)</f>
        <v>0</v>
      </c>
      <c r="D24" s="86"/>
    </row>
    <row r="25" spans="1:4" ht="18" customHeight="1" thickBot="1">
      <c r="A25" s="333">
        <v>19</v>
      </c>
      <c r="B25" s="121" t="s">
        <v>828</v>
      </c>
      <c r="C25" s="328">
        <v>1</v>
      </c>
      <c r="D25" s="121" t="s">
        <v>782</v>
      </c>
    </row>
    <row r="26" spans="1:4" ht="18" customHeight="1" thickBot="1">
      <c r="A26" s="333">
        <v>20</v>
      </c>
      <c r="B26" s="14" t="s">
        <v>141</v>
      </c>
      <c r="C26" s="139">
        <f>'Installation Checklist'!$A$51</f>
        <v>0</v>
      </c>
      <c r="D26" s="15"/>
    </row>
    <row r="27" spans="1:4" ht="18" customHeight="1" thickBot="1">
      <c r="A27" s="338">
        <v>21</v>
      </c>
      <c r="B27" s="86" t="s">
        <v>813</v>
      </c>
      <c r="C27" s="327">
        <v>20</v>
      </c>
      <c r="D27" s="86" t="s">
        <v>87</v>
      </c>
    </row>
    <row r="28" spans="1:4" ht="18" customHeight="1" thickBot="1">
      <c r="A28" s="333">
        <v>22</v>
      </c>
      <c r="B28" s="121" t="s">
        <v>814</v>
      </c>
      <c r="C28" s="328">
        <v>1</v>
      </c>
      <c r="D28" s="121" t="s">
        <v>782</v>
      </c>
    </row>
    <row r="29" spans="1:4" ht="18" customHeight="1">
      <c r="A29" s="333">
        <v>23</v>
      </c>
      <c r="B29" s="86" t="s">
        <v>816</v>
      </c>
      <c r="C29" s="304">
        <f>SUM(C24*C25)</f>
        <v>0</v>
      </c>
      <c r="D29" s="86" t="s">
        <v>783</v>
      </c>
    </row>
    <row r="30" spans="1:4" ht="18" customHeight="1">
      <c r="A30" s="333">
        <v>24</v>
      </c>
      <c r="B30" s="86" t="s">
        <v>19</v>
      </c>
      <c r="C30" s="304">
        <f>SUM(C29/24)</f>
        <v>0</v>
      </c>
      <c r="D30" s="86"/>
    </row>
    <row r="31" spans="1:4" ht="18" customHeight="1">
      <c r="A31" s="338">
        <v>25</v>
      </c>
      <c r="B31" s="86" t="s">
        <v>817</v>
      </c>
      <c r="C31" s="303">
        <f>SUM(C29*(C7*C21))</f>
        <v>0</v>
      </c>
      <c r="D31" s="86"/>
    </row>
    <row r="32" spans="1:4" ht="18" customHeight="1">
      <c r="A32" s="333">
        <v>26</v>
      </c>
      <c r="B32" s="86" t="s">
        <v>818</v>
      </c>
      <c r="C32" s="304">
        <f>SUM(C29*365)</f>
        <v>0</v>
      </c>
      <c r="D32" s="86" t="s">
        <v>783</v>
      </c>
    </row>
    <row r="33" spans="1:4" ht="18" customHeight="1">
      <c r="A33" s="333">
        <v>27</v>
      </c>
      <c r="B33" s="305" t="s">
        <v>819</v>
      </c>
      <c r="C33" s="306">
        <f>SUM(C32*(C7*C21))</f>
        <v>0</v>
      </c>
      <c r="D33" s="86"/>
    </row>
    <row r="34" spans="1:4" ht="18" customHeight="1">
      <c r="A34" s="333">
        <v>28</v>
      </c>
      <c r="B34" s="301" t="s">
        <v>820</v>
      </c>
      <c r="C34" s="302">
        <f>SUM(C26*C23*C28)</f>
        <v>0</v>
      </c>
      <c r="D34" s="86" t="s">
        <v>783</v>
      </c>
    </row>
    <row r="35" spans="1:4" ht="18" customHeight="1">
      <c r="A35" s="338">
        <v>29</v>
      </c>
      <c r="B35" s="86" t="s">
        <v>821</v>
      </c>
      <c r="C35" s="303">
        <f>SUM(C34*C8)</f>
        <v>0</v>
      </c>
      <c r="D35" s="86"/>
    </row>
    <row r="36" spans="1:4" ht="18" customHeight="1">
      <c r="A36" s="333">
        <v>30</v>
      </c>
      <c r="B36" s="86" t="s">
        <v>822</v>
      </c>
      <c r="C36" s="304">
        <f>SUM(C34*365)</f>
        <v>0</v>
      </c>
      <c r="D36" s="86" t="s">
        <v>783</v>
      </c>
    </row>
    <row r="37" spans="1:4" ht="18" customHeight="1">
      <c r="A37" s="333">
        <v>31</v>
      </c>
      <c r="B37" s="305" t="s">
        <v>823</v>
      </c>
      <c r="C37" s="306">
        <f>SUM(C36*(C8*C27))</f>
        <v>0</v>
      </c>
      <c r="D37" s="86"/>
    </row>
    <row r="38" spans="1:4" ht="18" customHeight="1">
      <c r="A38" s="333">
        <v>32</v>
      </c>
      <c r="B38" s="403" t="str">
        <f>CONCATENATE("Pedestrian Revenue / Trip / Single Pedestrian  at $",(C7)," /minute for ",(C21)," minutes")</f>
        <v>Pedestrian Revenue / Trip / Single Pedestrian  at $0.05 /minute for 20 minutes</v>
      </c>
      <c r="C38" s="404">
        <f>SUM(C7*$C$21)</f>
        <v>1</v>
      </c>
      <c r="D38" s="125" t="s">
        <v>206</v>
      </c>
    </row>
    <row r="39" spans="1:4" ht="18" customHeight="1" thickBot="1">
      <c r="A39" s="338">
        <v>33</v>
      </c>
      <c r="B39" s="344" t="str">
        <f>CONCATENATE("Car Transports Revenue / Trip / Single Car Transport at $",(C8)," /minute for ",(C27)," minutes")</f>
        <v>Car Transports Revenue / Trip / Single Car Transport at $1 /minute for 20 minutes</v>
      </c>
      <c r="C39" s="331">
        <f>SUM(C8*$C$27)</f>
        <v>20</v>
      </c>
      <c r="D39" s="125" t="s">
        <v>206</v>
      </c>
    </row>
    <row r="40" spans="1:4" ht="18" customHeight="1" thickBot="1">
      <c r="A40" s="333">
        <v>34</v>
      </c>
      <c r="B40" s="345" t="s">
        <v>824</v>
      </c>
      <c r="C40" s="332">
        <v>120</v>
      </c>
      <c r="D40" s="86" t="s">
        <v>784</v>
      </c>
    </row>
    <row r="41" spans="1:4" ht="18" customHeight="1" thickBot="1">
      <c r="A41" s="333">
        <v>35</v>
      </c>
      <c r="B41" s="402" t="str">
        <f>CONCATENATE("Efficiency Possible Distance Covered Traveling at ",(C40),"mph for ",(C21)," minutes")</f>
        <v>Efficiency Possible Distance Covered Traveling at 120mph for 20 minutes</v>
      </c>
      <c r="C41" s="407">
        <f>SUM(C40/60)*C21</f>
        <v>40</v>
      </c>
      <c r="D41" s="121" t="s">
        <v>826</v>
      </c>
    </row>
    <row r="42" spans="1:4" ht="18" customHeight="1">
      <c r="A42" s="333">
        <v>36</v>
      </c>
      <c r="B42" s="408" t="s">
        <v>956</v>
      </c>
      <c r="C42" s="303">
        <f>SUM(C38/C41)</f>
        <v>0.025</v>
      </c>
      <c r="D42" s="86" t="s">
        <v>957</v>
      </c>
    </row>
    <row r="43" spans="1:4" ht="18" customHeight="1">
      <c r="A43" s="338">
        <v>37</v>
      </c>
      <c r="B43" s="409" t="s">
        <v>0</v>
      </c>
      <c r="C43" s="306">
        <f>SUM(C33+C37)</f>
        <v>0</v>
      </c>
      <c r="D43" s="401" t="s">
        <v>958</v>
      </c>
    </row>
    <row r="44" spans="1:4" ht="18" customHeight="1">
      <c r="A44" s="333">
        <v>38</v>
      </c>
      <c r="B44" s="410" t="s">
        <v>1</v>
      </c>
      <c r="C44" s="311">
        <f>SUM(C15)</f>
        <v>1500036850</v>
      </c>
      <c r="D44" s="330" t="s">
        <v>958</v>
      </c>
    </row>
    <row r="45" spans="1:4" ht="18" customHeight="1">
      <c r="A45" s="333">
        <v>39</v>
      </c>
      <c r="B45" s="411" t="s">
        <v>350</v>
      </c>
      <c r="C45" s="311">
        <f>'Advertising - Rent'!$G$16</f>
        <v>694584000</v>
      </c>
      <c r="D45" s="86" t="s">
        <v>958</v>
      </c>
    </row>
    <row r="46" spans="1:4" ht="18" customHeight="1" thickBot="1">
      <c r="A46" s="333">
        <v>40</v>
      </c>
      <c r="B46" s="413" t="s">
        <v>384</v>
      </c>
      <c r="C46" s="414">
        <f>'Advertising - Rent'!$G$29</f>
        <v>117612000</v>
      </c>
      <c r="D46" s="343" t="s">
        <v>958</v>
      </c>
    </row>
    <row r="47" spans="1:4" ht="18" customHeight="1" thickTop="1">
      <c r="A47" s="341"/>
      <c r="B47" s="415" t="s">
        <v>785</v>
      </c>
      <c r="C47" s="412">
        <f>SUM(C43:C46)</f>
        <v>2312232850</v>
      </c>
      <c r="D47" s="86" t="s">
        <v>958</v>
      </c>
    </row>
    <row r="48" spans="1:8" ht="13.5" customHeight="1">
      <c r="A48" s="10"/>
      <c r="B48" s="84"/>
      <c r="C48" s="52"/>
      <c r="D48" s="24"/>
      <c r="F48">
        <v>100</v>
      </c>
      <c r="G48" s="261">
        <v>274947000</v>
      </c>
      <c r="H48" s="261">
        <f>+G48*0.7</f>
        <v>192462900</v>
      </c>
    </row>
    <row r="49" spans="2:4" s="19" customFormat="1" ht="15.75">
      <c r="B49" s="115" t="str">
        <f>CONCATENATE("Budget&gt;&gt; Cost for Installation for ",ROUNDUP(C6,2)," miles")</f>
        <v>Budget&gt;&gt; Cost for Installation for 867.54 miles</v>
      </c>
      <c r="C49" s="116">
        <f>SUM('Installation Checklist'!$E$52*C4)+'Installation Checklist'!$E$52</f>
        <v>10594231773.866667</v>
      </c>
      <c r="D49" s="86" t="s">
        <v>58</v>
      </c>
    </row>
    <row r="50" spans="2:4" s="19" customFormat="1" ht="15.75">
      <c r="B50" s="115" t="s">
        <v>949</v>
      </c>
      <c r="C50" s="116">
        <f>SUM(C47)</f>
        <v>2312232850</v>
      </c>
      <c r="D50" s="86" t="s">
        <v>9</v>
      </c>
    </row>
    <row r="51" spans="2:4" s="19" customFormat="1" ht="15.75">
      <c r="B51" s="115" t="s">
        <v>786</v>
      </c>
      <c r="C51" s="392">
        <f>SUM(C49/C50)</f>
        <v>4.581818727238767</v>
      </c>
      <c r="D51" s="86" t="s">
        <v>10</v>
      </c>
    </row>
    <row r="52" spans="2:4" s="19" customFormat="1" ht="15.75">
      <c r="B52" s="115" t="s">
        <v>787</v>
      </c>
      <c r="C52" s="208">
        <v>0.5</v>
      </c>
      <c r="D52" s="86"/>
    </row>
    <row r="53" spans="2:4" s="19" customFormat="1" ht="15.75">
      <c r="B53" s="115" t="s">
        <v>800</v>
      </c>
      <c r="C53" s="116">
        <f>SUM(C50*C52)</f>
        <v>1156116425</v>
      </c>
      <c r="D53" s="86"/>
    </row>
    <row r="54" spans="2:4" s="19" customFormat="1" ht="15.75" customHeight="1" thickBot="1">
      <c r="B54" s="312" t="s">
        <v>788</v>
      </c>
      <c r="C54" s="313">
        <f>SUM(C49/(C50*C52))</f>
        <v>9.163637454477534</v>
      </c>
      <c r="D54" s="86" t="s">
        <v>423</v>
      </c>
    </row>
    <row r="55" spans="2:4" s="19" customFormat="1" ht="15.75" customHeight="1" thickTop="1">
      <c r="B55" s="314"/>
      <c r="C55" s="315"/>
      <c r="D55" s="86"/>
    </row>
    <row r="56" spans="2:4" s="19" customFormat="1" ht="15.75" customHeight="1">
      <c r="B56" s="26" t="s">
        <v>140</v>
      </c>
      <c r="C56" s="316">
        <v>9</v>
      </c>
      <c r="D56" s="86" t="s">
        <v>656</v>
      </c>
    </row>
    <row r="57" spans="2:4" s="19" customFormat="1" ht="15">
      <c r="B57" s="26" t="s">
        <v>789</v>
      </c>
      <c r="C57" s="316">
        <v>3</v>
      </c>
      <c r="D57" s="86" t="s">
        <v>656</v>
      </c>
    </row>
    <row r="58" spans="2:4" s="19" customFormat="1" ht="15">
      <c r="B58" s="26" t="s">
        <v>5</v>
      </c>
      <c r="C58" s="112">
        <f>ProductionTimeLine!$O$7</f>
        <v>14.419791666666669</v>
      </c>
      <c r="D58" s="86" t="s">
        <v>656</v>
      </c>
    </row>
    <row r="59" spans="2:4" s="19" customFormat="1" ht="15">
      <c r="B59" s="26" t="s">
        <v>950</v>
      </c>
      <c r="C59" s="112">
        <f>SUM(C58/12)</f>
        <v>1.2016493055555557</v>
      </c>
      <c r="D59" s="86" t="s">
        <v>6</v>
      </c>
    </row>
    <row r="60" spans="2:4" s="19" customFormat="1" ht="15">
      <c r="B60" s="26" t="s">
        <v>7</v>
      </c>
      <c r="C60" s="113">
        <f>SUM(C56:C58)</f>
        <v>26.41979166666667</v>
      </c>
      <c r="D60" s="86" t="s">
        <v>656</v>
      </c>
    </row>
    <row r="61" spans="2:4" s="19" customFormat="1" ht="15">
      <c r="B61" s="26" t="s">
        <v>8</v>
      </c>
      <c r="C61" s="113">
        <f>SUM(C60/12)</f>
        <v>2.2016493055555557</v>
      </c>
      <c r="D61" s="86" t="s">
        <v>423</v>
      </c>
    </row>
    <row r="62" spans="2:4" s="19" customFormat="1" ht="15.75">
      <c r="B62" s="26" t="s">
        <v>216</v>
      </c>
      <c r="C62" s="114">
        <f>SUM(12*C51)+C60</f>
        <v>81.40161639353187</v>
      </c>
      <c r="D62" s="86" t="s">
        <v>656</v>
      </c>
    </row>
    <row r="63" spans="2:4" s="19" customFormat="1" ht="15.75">
      <c r="B63" s="26" t="s">
        <v>951</v>
      </c>
      <c r="C63" s="114">
        <f>SUM(C62/12)</f>
        <v>6.783468032794322</v>
      </c>
      <c r="D63" s="86" t="s">
        <v>423</v>
      </c>
    </row>
    <row r="64" spans="2:4" s="19" customFormat="1" ht="15">
      <c r="B64" s="26" t="s">
        <v>1031</v>
      </c>
      <c r="C64" s="439">
        <v>20851820</v>
      </c>
      <c r="D64" s="86" t="s">
        <v>39</v>
      </c>
    </row>
    <row r="65" spans="2:4" s="19" customFormat="1" ht="15">
      <c r="B65" s="26" t="s">
        <v>1033</v>
      </c>
      <c r="C65" s="307">
        <f>SUM(C53*0.25)/C64</f>
        <v>13.861097316685067</v>
      </c>
      <c r="D65" s="86" t="s">
        <v>952</v>
      </c>
    </row>
    <row r="74" spans="4:5" ht="15">
      <c r="D74" s="116">
        <v>2000</v>
      </c>
      <c r="E74" t="s">
        <v>1034</v>
      </c>
    </row>
    <row r="75" ht="15">
      <c r="D75" s="116"/>
    </row>
    <row r="76" spans="2:4" ht="15">
      <c r="B76">
        <f>SUM(32*(5280*1000))</f>
        <v>168960000</v>
      </c>
      <c r="C76">
        <v>43528</v>
      </c>
      <c r="D76" s="116"/>
    </row>
    <row r="77" spans="3:5" ht="15">
      <c r="C77">
        <f>SUM(B76/C76)</f>
        <v>3881.639404521228</v>
      </c>
      <c r="D77" s="116">
        <f>SUM(C77*D74)</f>
        <v>7763278.809042456</v>
      </c>
      <c r="E77" t="s">
        <v>1035</v>
      </c>
    </row>
    <row r="78" spans="4:5" ht="12.75">
      <c r="D78" s="27">
        <f>$C$50</f>
        <v>2312232850</v>
      </c>
      <c r="E78" t="s">
        <v>9</v>
      </c>
    </row>
    <row r="79" spans="4:5" ht="12.75">
      <c r="D79" s="27">
        <f>SUM(D78-D77)</f>
        <v>2304469571.1909575</v>
      </c>
      <c r="E79" t="s">
        <v>611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59" r:id="rId2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C19" sqref="C19"/>
    </sheetView>
  </sheetViews>
  <sheetFormatPr defaultColWidth="9.140625" defaultRowHeight="12.75"/>
  <cols>
    <col min="2" max="2" width="47.421875" style="0" customWidth="1"/>
    <col min="3" max="3" width="22.140625" style="0" bestFit="1" customWidth="1"/>
  </cols>
  <sheetData>
    <row r="1" ht="27">
      <c r="A1" s="255" t="s">
        <v>15</v>
      </c>
    </row>
    <row r="2" ht="18">
      <c r="A2" s="209" t="s">
        <v>16</v>
      </c>
    </row>
    <row r="4" spans="1:6" ht="15">
      <c r="A4" s="72"/>
      <c r="B4" s="72" t="s">
        <v>945</v>
      </c>
      <c r="C4" s="72"/>
      <c r="D4" s="72"/>
      <c r="E4" s="19"/>
      <c r="F4" s="19"/>
    </row>
    <row r="5" spans="1:6" ht="15">
      <c r="A5" s="184"/>
      <c r="B5" s="393" t="s">
        <v>943</v>
      </c>
      <c r="C5" s="399">
        <f>'Installation Checklist'!$A$58</f>
        <v>867.537</v>
      </c>
      <c r="D5" s="184"/>
      <c r="E5" s="19"/>
      <c r="F5" s="19"/>
    </row>
    <row r="6" spans="1:6" ht="15">
      <c r="A6" s="184"/>
      <c r="B6" s="393" t="s">
        <v>946</v>
      </c>
      <c r="C6" s="399">
        <f>'Installation Checklist'!$A$57</f>
        <v>1397</v>
      </c>
      <c r="D6" s="184"/>
      <c r="E6" s="19"/>
      <c r="F6" s="19"/>
    </row>
    <row r="7" spans="1:6" ht="15">
      <c r="A7" s="184"/>
      <c r="B7" s="393" t="s">
        <v>947</v>
      </c>
      <c r="C7" s="398">
        <v>3500</v>
      </c>
      <c r="D7" s="184"/>
      <c r="E7" s="19"/>
      <c r="F7" s="19"/>
    </row>
    <row r="8" spans="1:6" ht="15">
      <c r="A8" s="184"/>
      <c r="B8" s="393" t="str">
        <f>'Energy Calculator'!B60</f>
        <v>Total Kilowatts/year</v>
      </c>
      <c r="C8" s="395">
        <f>'Energy Calculator'!C60</f>
        <v>2093490718.3872</v>
      </c>
      <c r="D8" s="184"/>
      <c r="E8" s="19"/>
      <c r="F8" s="19"/>
    </row>
    <row r="9" spans="1:6" ht="15">
      <c r="A9" s="184"/>
      <c r="B9" s="393" t="str">
        <f>'Energy Calculator'!B64</f>
        <v>Value of a Kilowatt</v>
      </c>
      <c r="C9" s="396">
        <f>'Energy Calculator'!C64</f>
        <v>0.1</v>
      </c>
      <c r="D9" s="184"/>
      <c r="E9" s="19"/>
      <c r="F9" s="19"/>
    </row>
    <row r="10" spans="1:6" ht="15">
      <c r="A10" s="184"/>
      <c r="B10" s="393" t="str">
        <f>'Energy Calculator'!B65</f>
        <v>Total Electrical Output Value</v>
      </c>
      <c r="C10" s="396">
        <f>'Energy Calculator'!C65</f>
        <v>209349071.83872002</v>
      </c>
      <c r="D10" s="184" t="s">
        <v>948</v>
      </c>
      <c r="E10" s="19"/>
      <c r="F10" s="19"/>
    </row>
    <row r="11" spans="1:6" ht="15">
      <c r="A11" s="184"/>
      <c r="B11" s="393"/>
      <c r="C11" s="184"/>
      <c r="D11" s="184"/>
      <c r="E11" s="19"/>
      <c r="F11" s="19"/>
    </row>
    <row r="12" spans="1:6" ht="15">
      <c r="A12" s="184"/>
      <c r="B12" s="26" t="str">
        <f>'Installation Checklist'!C48</f>
        <v>Grand Public Car  (GPC)</v>
      </c>
      <c r="C12" s="417">
        <f>'Installation Checklist'!A48</f>
        <v>0</v>
      </c>
      <c r="D12" s="184" t="str">
        <f>'Installation Checklist'!B48</f>
        <v>Each</v>
      </c>
      <c r="F12" s="19"/>
    </row>
    <row r="13" spans="1:6" ht="15">
      <c r="A13" s="184"/>
      <c r="B13" s="26" t="str">
        <f>'Installation Checklist'!C49</f>
        <v>Commuter Public Car (60 Passenger)</v>
      </c>
      <c r="C13" s="417">
        <f>'Installation Checklist'!A49</f>
        <v>0</v>
      </c>
      <c r="D13" s="184" t="str">
        <f>'Installation Checklist'!B49</f>
        <v>Each</v>
      </c>
      <c r="F13" s="19"/>
    </row>
    <row r="14" spans="1:6" ht="15">
      <c r="A14" s="184"/>
      <c r="B14" s="26" t="str">
        <f>'Installation Checklist'!C50</f>
        <v>Freight Car</v>
      </c>
      <c r="C14" s="417">
        <f>'Installation Checklist'!A50</f>
        <v>1313</v>
      </c>
      <c r="D14" s="184" t="str">
        <f>'Installation Checklist'!B50</f>
        <v>Each</v>
      </c>
      <c r="F14" s="19"/>
    </row>
    <row r="15" spans="1:6" ht="15">
      <c r="A15" s="184"/>
      <c r="B15" s="26" t="str">
        <f>'Installation Checklist'!C51</f>
        <v>Car Transports</v>
      </c>
      <c r="C15" s="417">
        <f>'Installation Checklist'!A51</f>
        <v>0</v>
      </c>
      <c r="D15" s="184" t="str">
        <f>'Installation Checklist'!B51</f>
        <v>Each</v>
      </c>
      <c r="F15" s="19"/>
    </row>
    <row r="16" spans="1:6" ht="15">
      <c r="A16" s="184"/>
      <c r="B16" s="393"/>
      <c r="C16" s="184"/>
      <c r="D16" s="184"/>
      <c r="E16" s="19"/>
      <c r="F16" s="19"/>
    </row>
    <row r="17" spans="1:6" ht="15">
      <c r="A17" s="184"/>
      <c r="B17" s="393"/>
      <c r="C17" s="184"/>
      <c r="D17" s="184"/>
      <c r="E17" s="19"/>
      <c r="F17" s="19"/>
    </row>
    <row r="18" spans="1:6" ht="15">
      <c r="A18" s="184"/>
      <c r="B18" s="393" t="str">
        <f>'Return On Investment'!B49</f>
        <v>Budget&gt;&gt; Cost for Installation for 867.54 miles</v>
      </c>
      <c r="C18" s="396">
        <f>'Return On Investment'!C49</f>
        <v>10594231773.866667</v>
      </c>
      <c r="D18" s="184"/>
      <c r="E18" s="19"/>
      <c r="F18" s="19"/>
    </row>
    <row r="19" spans="1:6" ht="15">
      <c r="A19" s="184"/>
      <c r="B19" s="393" t="str">
        <f>'Return On Investment'!B50</f>
        <v>Total Projected Annual Revenue</v>
      </c>
      <c r="C19" s="396">
        <f>'Return On Investment'!C50</f>
        <v>2312232850</v>
      </c>
      <c r="D19" s="184"/>
      <c r="E19" s="19"/>
      <c r="F19" s="19"/>
    </row>
    <row r="20" spans="1:6" ht="15">
      <c r="A20" s="184"/>
      <c r="B20" s="393" t="str">
        <f>'Return On Investment'!B51</f>
        <v>Return on Investment at 100% of Revenue</v>
      </c>
      <c r="C20" s="394">
        <f>'Return On Investment'!C51</f>
        <v>4.581818727238767</v>
      </c>
      <c r="D20" s="184" t="str">
        <f>'Return On Investment'!D51</f>
        <v>ROI in Years if apeared overnight</v>
      </c>
      <c r="E20" s="19"/>
      <c r="F20" s="19"/>
    </row>
    <row r="21" spans="1:6" ht="15">
      <c r="A21" s="184"/>
      <c r="B21" s="393" t="str">
        <f>'Return On Investment'!B52</f>
        <v>Dept Service Fund</v>
      </c>
      <c r="C21" s="400">
        <f>'Return On Investment'!C52</f>
        <v>0.5</v>
      </c>
      <c r="D21" s="184"/>
      <c r="E21" s="19"/>
      <c r="F21" s="19"/>
    </row>
    <row r="22" spans="1:6" ht="15">
      <c r="A22" s="184"/>
      <c r="B22" s="393" t="str">
        <f>'Return On Investment'!B53</f>
        <v>Total Annual Dept Service Fund (P/P Partnership)</v>
      </c>
      <c r="C22" s="396">
        <f>'Return On Investment'!C53</f>
        <v>1156116425</v>
      </c>
      <c r="D22" s="184"/>
      <c r="E22" s="19"/>
      <c r="F22" s="19"/>
    </row>
    <row r="23" spans="1:6" ht="15">
      <c r="A23" s="184"/>
      <c r="B23" s="393" t="str">
        <f>'Return On Investment'!B54</f>
        <v>Return on Investment using Dept Service Fund</v>
      </c>
      <c r="C23" s="397">
        <f>'Return On Investment'!C54</f>
        <v>9.163637454477534</v>
      </c>
      <c r="D23" s="184" t="str">
        <f>'Return On Investment'!D54</f>
        <v>Years</v>
      </c>
      <c r="E23" s="19"/>
      <c r="F23" s="19"/>
    </row>
    <row r="24" spans="1:6" ht="15">
      <c r="A24" s="184"/>
      <c r="B24" s="184"/>
      <c r="C24" s="184"/>
      <c r="D24" s="184"/>
      <c r="E24" s="19"/>
      <c r="F24" s="19"/>
    </row>
    <row r="25" spans="1:6" ht="15">
      <c r="A25" s="184"/>
      <c r="B25" s="393" t="str">
        <f>'Return On Investment'!B56</f>
        <v>Time to tool up manufacturing in Months</v>
      </c>
      <c r="C25" s="184">
        <f>'Return On Investment'!C56</f>
        <v>9</v>
      </c>
      <c r="D25" s="184"/>
      <c r="E25" s="19"/>
      <c r="F25" s="19"/>
    </row>
    <row r="26" spans="1:6" ht="15">
      <c r="A26" s="184"/>
      <c r="B26" s="393" t="str">
        <f>'Return On Investment'!B57</f>
        <v>Unforeseen Delays for Installation in Months</v>
      </c>
      <c r="C26" s="184">
        <f>'Return On Investment'!C57</f>
        <v>3</v>
      </c>
      <c r="D26" s="184"/>
      <c r="E26" s="19"/>
      <c r="F26" s="19"/>
    </row>
    <row r="27" spans="1:6" ht="15">
      <c r="A27" s="184"/>
      <c r="B27" s="393" t="str">
        <f>'Return On Investment'!B58</f>
        <v>Total Production Time to make and all parts in Months</v>
      </c>
      <c r="C27" s="418">
        <f>'Return On Investment'!C58</f>
        <v>14.419791666666669</v>
      </c>
      <c r="D27" s="184"/>
      <c r="E27" s="19"/>
      <c r="F27" s="19"/>
    </row>
    <row r="28" spans="1:6" ht="15">
      <c r="A28" s="184"/>
      <c r="B28" s="393" t="str">
        <f>'Return On Investment'!B60</f>
        <v>Total Months Until Fully Full System is installed Operational</v>
      </c>
      <c r="C28" s="418">
        <f>'Return On Investment'!C60</f>
        <v>26.41979166666667</v>
      </c>
      <c r="D28" s="184"/>
      <c r="E28" s="19"/>
      <c r="F28" s="19"/>
    </row>
    <row r="29" spans="1:4" ht="14.25">
      <c r="A29" s="184"/>
      <c r="B29" s="393" t="str">
        <f>'Return On Investment'!B61</f>
        <v>Total in Years Until Fully Full System is installed Operational</v>
      </c>
      <c r="C29" s="418">
        <f>'Return On Investment'!C61</f>
        <v>2.2016493055555557</v>
      </c>
      <c r="D29" s="184"/>
    </row>
    <row r="30" spans="1:4" ht="14.25">
      <c r="A30" s="184"/>
      <c r="B30" s="393" t="str">
        <f>'Return On Investment'!B62</f>
        <v>Return on Investment in Months after made Operational</v>
      </c>
      <c r="C30" s="418">
        <f>'Return On Investment'!C62</f>
        <v>81.40161639353187</v>
      </c>
      <c r="D30" s="184"/>
    </row>
    <row r="31" spans="1:4" ht="14.25">
      <c r="A31" s="184"/>
      <c r="B31" s="393" t="str">
        <f>'Return On Investment'!B63</f>
        <v>Return on Investment in Years Including Startup time</v>
      </c>
      <c r="C31" s="418">
        <f>'Return On Investment'!C63</f>
        <v>6.783468032794322</v>
      </c>
      <c r="D31" s="184" t="s">
        <v>17</v>
      </c>
    </row>
    <row r="32" spans="1:4" ht="14.25">
      <c r="A32" s="184"/>
      <c r="B32" s="393" t="str">
        <f>'Return On Investment'!B64</f>
        <v>Texas Population</v>
      </c>
      <c r="C32" s="184">
        <f>'Return On Investment'!C64</f>
        <v>20851820</v>
      </c>
      <c r="D32" s="184"/>
    </row>
    <row r="33" spans="1:4" ht="14.25">
      <c r="A33" s="184"/>
      <c r="B33" s="393" t="str">
        <f>'Return On Investment'!B65</f>
        <v>PerCapita Revenue</v>
      </c>
      <c r="C33" s="396">
        <f>'Return On Investment'!C65</f>
        <v>13.861097316685067</v>
      </c>
      <c r="D33" s="184"/>
    </row>
    <row r="34" spans="1:4" ht="14.25">
      <c r="A34" s="184"/>
      <c r="B34" s="393"/>
      <c r="C34" s="184"/>
      <c r="D34" s="184"/>
    </row>
    <row r="35" spans="1:4" ht="14.25">
      <c r="A35" s="184"/>
      <c r="B35" s="393"/>
      <c r="C35" s="184">
        <f>'Employment Projections'!A26</f>
        <v>7555</v>
      </c>
      <c r="D35" s="184" t="str">
        <f>'Employment Projections'!B26</f>
        <v>Total Employees (estimated)</v>
      </c>
    </row>
    <row r="36" spans="1:4" ht="14.25">
      <c r="A36" s="184"/>
      <c r="B36" s="184"/>
      <c r="C36" s="184"/>
      <c r="D36" s="18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25" sqref="A25"/>
    </sheetView>
  </sheetViews>
  <sheetFormatPr defaultColWidth="9.140625" defaultRowHeight="12.75"/>
  <cols>
    <col min="2" max="2" width="34.00390625" style="0" customWidth="1"/>
    <col min="3" max="3" width="21.00390625" style="0" customWidth="1"/>
  </cols>
  <sheetData>
    <row r="1" ht="25.5">
      <c r="A1" s="29" t="s">
        <v>959</v>
      </c>
    </row>
    <row r="2" spans="1:2" ht="12.75">
      <c r="A2" s="446" t="s">
        <v>1041</v>
      </c>
      <c r="B2" s="447"/>
    </row>
    <row r="3" spans="1:5" ht="18">
      <c r="A3" s="420" t="s">
        <v>1040</v>
      </c>
      <c r="B3" s="11"/>
      <c r="C3" s="11"/>
      <c r="D3" s="11"/>
      <c r="E3" s="11"/>
    </row>
    <row r="4" spans="1:3" ht="12.75">
      <c r="A4" t="s">
        <v>266</v>
      </c>
      <c r="C4" s="440">
        <f>'Installation Checklist'!$A$58</f>
        <v>867.537</v>
      </c>
    </row>
    <row r="5" spans="1:3" ht="12.75">
      <c r="A5" t="s">
        <v>960</v>
      </c>
      <c r="C5">
        <f>'Installation Checklist'!$A$52</f>
        <v>0</v>
      </c>
    </row>
    <row r="6" spans="1:3" ht="12.75">
      <c r="A6" t="s">
        <v>961</v>
      </c>
      <c r="C6" s="261">
        <f>'Return On Investment'!$C$22</f>
        <v>0</v>
      </c>
    </row>
    <row r="7" spans="1:3" ht="12.75">
      <c r="A7" t="s">
        <v>962</v>
      </c>
      <c r="C7">
        <f>'Installation Checklist'!$A$52</f>
        <v>0</v>
      </c>
    </row>
    <row r="8" spans="1:3" ht="12.75">
      <c r="A8" t="s">
        <v>963</v>
      </c>
      <c r="C8">
        <f>'Installation Checklist'!$A$50</f>
        <v>1313</v>
      </c>
    </row>
    <row r="9" spans="1:3" ht="12.75">
      <c r="A9" t="s">
        <v>871</v>
      </c>
      <c r="C9">
        <f>'Installation Checklist'!$A$55</f>
        <v>33</v>
      </c>
    </row>
    <row r="10" spans="1:3" ht="12.75">
      <c r="A10" t="s">
        <v>1036</v>
      </c>
      <c r="C10" s="178">
        <f>'Advertising - Rent'!$D$23</f>
        <v>3</v>
      </c>
    </row>
    <row r="11" spans="1:3" ht="12.75">
      <c r="A11" t="s">
        <v>1037</v>
      </c>
      <c r="C11">
        <f>SUM(C9*C10)</f>
        <v>99</v>
      </c>
    </row>
    <row r="12" spans="1:3" ht="12.75">
      <c r="A12" t="s">
        <v>964</v>
      </c>
      <c r="C12" s="267">
        <f>'Advertising - Rent'!$D$24</f>
        <v>3000</v>
      </c>
    </row>
    <row r="13" spans="1:3" ht="12.75">
      <c r="A13" t="s">
        <v>965</v>
      </c>
      <c r="C13" s="63">
        <f>SUM(C12*C11*365)</f>
        <v>108405000</v>
      </c>
    </row>
    <row r="14" spans="1:3" ht="12.75">
      <c r="A14" t="s">
        <v>966</v>
      </c>
      <c r="C14" s="261">
        <f>SUM(C4*84480)</f>
        <v>73289525.76</v>
      </c>
    </row>
    <row r="15" spans="1:3" ht="12.75">
      <c r="A15" t="s">
        <v>967</v>
      </c>
      <c r="C15" s="178">
        <f>SolarCells!$J$5</f>
        <v>20</v>
      </c>
    </row>
    <row r="16" spans="1:3" ht="12.75">
      <c r="A16" t="s">
        <v>968</v>
      </c>
      <c r="C16" s="261">
        <f>SUM(C15*C14)</f>
        <v>1465790515.2</v>
      </c>
    </row>
    <row r="17" spans="1:3" ht="12.75">
      <c r="A17" t="s">
        <v>969</v>
      </c>
      <c r="C17" s="441">
        <v>5</v>
      </c>
    </row>
    <row r="18" spans="1:3" ht="12.75">
      <c r="A18" t="s">
        <v>970</v>
      </c>
      <c r="C18" s="261">
        <f>SUM(C17*C16)</f>
        <v>7328952576</v>
      </c>
    </row>
    <row r="19" spans="1:3" ht="12.75">
      <c r="A19" t="s">
        <v>971</v>
      </c>
      <c r="C19" s="71">
        <f>SUM(C18*365)</f>
        <v>2675067690240</v>
      </c>
    </row>
    <row r="20" spans="1:3" ht="12.75">
      <c r="A20" t="s">
        <v>972</v>
      </c>
      <c r="C20" s="71">
        <f>SUM(C19/1000)</f>
        <v>2675067690.24</v>
      </c>
    </row>
    <row r="21" spans="1:3" ht="12.75">
      <c r="A21" t="s">
        <v>973</v>
      </c>
      <c r="C21" s="442">
        <v>0.1</v>
      </c>
    </row>
    <row r="22" spans="1:3" ht="12.75">
      <c r="A22" t="s">
        <v>974</v>
      </c>
      <c r="C22" s="63">
        <f>SUM(C20*C21)</f>
        <v>267506769.024</v>
      </c>
    </row>
    <row r="23" spans="1:3" ht="12.75">
      <c r="A23" t="s">
        <v>1049</v>
      </c>
      <c r="C23" s="63"/>
    </row>
    <row r="24" spans="1:3" ht="12.75">
      <c r="A24" t="s">
        <v>1050</v>
      </c>
      <c r="C24" s="63"/>
    </row>
    <row r="25" spans="1:3" ht="12.75">
      <c r="A25" t="s">
        <v>975</v>
      </c>
      <c r="C25" s="63">
        <f>'Installation Checklist'!$E$52</f>
        <v>10594231773.866667</v>
      </c>
    </row>
    <row r="26" spans="1:4" ht="12.75">
      <c r="A26" t="s">
        <v>976</v>
      </c>
      <c r="C26" s="63">
        <f>'Return On Investment'!$C$47</f>
        <v>2312232850</v>
      </c>
      <c r="D26" t="s">
        <v>977</v>
      </c>
    </row>
    <row r="27" spans="1:4" ht="12.75">
      <c r="A27" t="s">
        <v>1048</v>
      </c>
      <c r="C27" s="144">
        <f>SUM(C25/C26)</f>
        <v>4.581818727238767</v>
      </c>
      <c r="D27" t="s">
        <v>423</v>
      </c>
    </row>
    <row r="28" spans="1:5" ht="13.5" thickBot="1">
      <c r="A28" s="35" t="s">
        <v>978</v>
      </c>
      <c r="B28" s="35"/>
      <c r="C28" s="443">
        <v>0.5</v>
      </c>
      <c r="D28" s="35"/>
      <c r="E28" s="35"/>
    </row>
    <row r="29" spans="2:3" s="19" customFormat="1" ht="15">
      <c r="B29" s="26" t="s">
        <v>979</v>
      </c>
      <c r="C29" s="444">
        <f>SUM(C26-C30)</f>
        <v>1156116425</v>
      </c>
    </row>
    <row r="30" spans="2:3" s="19" customFormat="1" ht="15">
      <c r="B30" s="26" t="s">
        <v>980</v>
      </c>
      <c r="C30" s="444">
        <f>SUM(C28*C26)</f>
        <v>1156116425</v>
      </c>
    </row>
    <row r="31" spans="2:4" ht="21" customHeight="1">
      <c r="B31" s="452" t="s">
        <v>1046</v>
      </c>
      <c r="C31" s="453">
        <f>'Employment Projections'!$A$26</f>
        <v>7555</v>
      </c>
      <c r="D31" t="s">
        <v>1047</v>
      </c>
    </row>
    <row r="32" spans="1:5" ht="18">
      <c r="A32" s="420" t="s">
        <v>981</v>
      </c>
      <c r="B32" s="11"/>
      <c r="C32" s="11"/>
      <c r="D32" s="11"/>
      <c r="E32" s="11"/>
    </row>
    <row r="33" spans="1:3" ht="12.75">
      <c r="A33" t="s">
        <v>982</v>
      </c>
      <c r="C33" s="79">
        <v>500000000</v>
      </c>
    </row>
    <row r="34" spans="1:3" ht="12.75">
      <c r="A34" t="s">
        <v>983</v>
      </c>
      <c r="C34" s="79">
        <v>1000000000</v>
      </c>
    </row>
    <row r="35" spans="1:3" ht="12.75">
      <c r="A35" s="81" t="s">
        <v>984</v>
      </c>
      <c r="B35" s="81"/>
      <c r="C35" s="421">
        <v>100000000</v>
      </c>
    </row>
    <row r="36" spans="1:3" ht="12.75">
      <c r="A36" s="18" t="s">
        <v>985</v>
      </c>
      <c r="B36" s="18"/>
      <c r="C36" s="422">
        <f>'First Year Simplified Budget'!$E$73</f>
        <v>10253408</v>
      </c>
    </row>
    <row r="37" spans="2:3" ht="12.75">
      <c r="B37" t="s">
        <v>1038</v>
      </c>
      <c r="C37" s="79">
        <f>SUM(C33:C36)</f>
        <v>1610253408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A26" sqref="A26"/>
    </sheetView>
  </sheetViews>
  <sheetFormatPr defaultColWidth="9.140625" defaultRowHeight="12.75"/>
  <cols>
    <col min="1" max="1" width="19.00390625" style="0" customWidth="1"/>
    <col min="5" max="5" width="20.28125" style="0" customWidth="1"/>
  </cols>
  <sheetData>
    <row r="1" ht="25.5">
      <c r="A1" s="29" t="s">
        <v>959</v>
      </c>
    </row>
    <row r="2" ht="20.25">
      <c r="A2" s="432" t="s">
        <v>1014</v>
      </c>
    </row>
    <row r="3" ht="12.75">
      <c r="A3" t="s">
        <v>1015</v>
      </c>
    </row>
    <row r="4" spans="1:5" ht="15.75">
      <c r="A4" s="11"/>
      <c r="B4" s="433" t="s">
        <v>1029</v>
      </c>
      <c r="C4" s="11"/>
      <c r="D4" s="11"/>
      <c r="E4" s="11"/>
    </row>
    <row r="5" spans="1:2" ht="12.75">
      <c r="A5" s="261">
        <v>100</v>
      </c>
      <c r="B5" t="s">
        <v>1016</v>
      </c>
    </row>
    <row r="6" spans="1:2" ht="12.75">
      <c r="A6" s="261">
        <v>84</v>
      </c>
      <c r="B6" t="s">
        <v>356</v>
      </c>
    </row>
    <row r="7" spans="1:2" ht="12.75">
      <c r="A7" s="261">
        <v>3</v>
      </c>
      <c r="B7" t="s">
        <v>1017</v>
      </c>
    </row>
    <row r="8" spans="1:2" ht="12.75">
      <c r="A8" s="261">
        <f>SUM(A7*A6)</f>
        <v>252</v>
      </c>
      <c r="B8" t="s">
        <v>1018</v>
      </c>
    </row>
    <row r="9" spans="1:2" ht="12.75">
      <c r="A9" s="261">
        <v>10</v>
      </c>
      <c r="B9" t="s">
        <v>1019</v>
      </c>
    </row>
    <row r="10" spans="1:2" ht="12.75">
      <c r="A10" s="261">
        <f>SUM(A9*A8)</f>
        <v>2520</v>
      </c>
      <c r="B10" t="s">
        <v>1020</v>
      </c>
    </row>
    <row r="11" spans="1:2" ht="12.75">
      <c r="A11" s="261">
        <f>SUM(A5*3)</f>
        <v>300</v>
      </c>
      <c r="B11" t="s">
        <v>1021</v>
      </c>
    </row>
    <row r="12" spans="1:2" ht="12.75">
      <c r="A12" s="261">
        <v>5</v>
      </c>
      <c r="B12" t="s">
        <v>1022</v>
      </c>
    </row>
    <row r="13" spans="1:5" ht="13.5" thickBot="1">
      <c r="A13" s="434">
        <f>SUM(A12*A11)</f>
        <v>1500</v>
      </c>
      <c r="B13" s="39" t="s">
        <v>1023</v>
      </c>
      <c r="C13" s="39"/>
      <c r="D13" s="39"/>
      <c r="E13" s="39"/>
    </row>
    <row r="14" spans="1:4" ht="18.75" thickTop="1">
      <c r="A14" s="435">
        <f>SUM(A10+A13)</f>
        <v>4020</v>
      </c>
      <c r="B14" s="209" t="s">
        <v>1024</v>
      </c>
      <c r="C14" s="209"/>
      <c r="D14" s="209"/>
    </row>
    <row r="15" ht="12.75">
      <c r="A15" s="261"/>
    </row>
    <row r="16" spans="1:5" ht="15.75">
      <c r="A16" s="436"/>
      <c r="B16" s="433" t="s">
        <v>1045</v>
      </c>
      <c r="C16" s="437"/>
      <c r="D16" s="437"/>
      <c r="E16" s="437"/>
    </row>
    <row r="17" spans="1:2" ht="12.75">
      <c r="A17" s="261">
        <f>'Installation Checklist'!$A$58</f>
        <v>867.537</v>
      </c>
      <c r="B17" t="s">
        <v>1016</v>
      </c>
    </row>
    <row r="18" spans="1:2" ht="12.75">
      <c r="A18" s="261">
        <f>SUM('Installation Checklist'!A43+'Installation Checklist'!A44)</f>
        <v>33</v>
      </c>
      <c r="B18" t="s">
        <v>1030</v>
      </c>
    </row>
    <row r="19" spans="1:2" ht="12.75">
      <c r="A19" s="451">
        <f>'Advertising - Rent'!$D$23</f>
        <v>3</v>
      </c>
      <c r="B19" t="s">
        <v>1026</v>
      </c>
    </row>
    <row r="20" spans="1:2" ht="12.75">
      <c r="A20" s="261">
        <f>SUM(A19*A18)</f>
        <v>99</v>
      </c>
      <c r="B20" t="s">
        <v>1027</v>
      </c>
    </row>
    <row r="21" spans="1:2" ht="12.75">
      <c r="A21" s="438">
        <v>10</v>
      </c>
      <c r="B21" t="s">
        <v>1019</v>
      </c>
    </row>
    <row r="22" spans="1:2" ht="12.75">
      <c r="A22" s="261">
        <f>SUM(A21*A20)</f>
        <v>990</v>
      </c>
      <c r="B22" t="s">
        <v>1020</v>
      </c>
    </row>
    <row r="23" spans="1:2" ht="12.75">
      <c r="A23" s="261">
        <f>'Installation Checklist'!$A$61</f>
        <v>1313</v>
      </c>
      <c r="B23" t="s">
        <v>1021</v>
      </c>
    </row>
    <row r="24" spans="1:2" ht="12.75">
      <c r="A24" s="438">
        <v>5</v>
      </c>
      <c r="B24" t="s">
        <v>1022</v>
      </c>
    </row>
    <row r="25" spans="1:5" ht="13.5" thickBot="1">
      <c r="A25" s="434">
        <f>SUM(A23*A24)</f>
        <v>6565</v>
      </c>
      <c r="B25" s="39" t="s">
        <v>1023</v>
      </c>
      <c r="C25" s="39"/>
      <c r="D25" s="39"/>
      <c r="E25" s="39"/>
    </row>
    <row r="26" spans="1:4" ht="18.75" thickTop="1">
      <c r="A26" s="435">
        <f>SUM(A25+A22)</f>
        <v>7555</v>
      </c>
      <c r="B26" s="209" t="s">
        <v>1024</v>
      </c>
      <c r="C26" s="209"/>
      <c r="D26" s="209"/>
    </row>
    <row r="29" spans="1:5" ht="15.75">
      <c r="A29" s="436"/>
      <c r="B29" s="433" t="s">
        <v>1028</v>
      </c>
      <c r="C29" s="437"/>
      <c r="D29" s="437"/>
      <c r="E29" s="437"/>
    </row>
    <row r="30" spans="1:2" ht="12.75">
      <c r="A30" s="261">
        <v>54000</v>
      </c>
      <c r="B30" t="s">
        <v>1016</v>
      </c>
    </row>
    <row r="31" spans="1:2" ht="12.75">
      <c r="A31" s="261">
        <v>20000</v>
      </c>
      <c r="B31" t="s">
        <v>1025</v>
      </c>
    </row>
    <row r="32" spans="1:2" ht="12.75">
      <c r="A32" s="261">
        <v>3</v>
      </c>
      <c r="B32" t="s">
        <v>1026</v>
      </c>
    </row>
    <row r="33" spans="1:2" ht="12.75">
      <c r="A33" s="261">
        <f>SUM(A32*A31)</f>
        <v>60000</v>
      </c>
      <c r="B33" t="s">
        <v>1027</v>
      </c>
    </row>
    <row r="34" spans="1:2" ht="12.75">
      <c r="A34" s="261">
        <v>10</v>
      </c>
      <c r="B34" t="s">
        <v>1019</v>
      </c>
    </row>
    <row r="35" spans="1:2" ht="12.75">
      <c r="A35" s="261">
        <f>SUM(A34*A33)</f>
        <v>600000</v>
      </c>
      <c r="B35" t="s">
        <v>1020</v>
      </c>
    </row>
    <row r="36" spans="1:2" ht="12.75">
      <c r="A36" s="261">
        <f>SUM(A30*3)</f>
        <v>162000</v>
      </c>
      <c r="B36" t="s">
        <v>1021</v>
      </c>
    </row>
    <row r="37" spans="1:2" ht="12.75">
      <c r="A37" s="261">
        <v>5</v>
      </c>
      <c r="B37" t="s">
        <v>1022</v>
      </c>
    </row>
    <row r="38" spans="1:5" ht="13.5" thickBot="1">
      <c r="A38" s="434">
        <f>SUM(A37*A36)</f>
        <v>810000</v>
      </c>
      <c r="B38" s="39" t="s">
        <v>1023</v>
      </c>
      <c r="C38" s="39"/>
      <c r="D38" s="39"/>
      <c r="E38" s="39"/>
    </row>
    <row r="39" spans="1:4" ht="18.75" thickTop="1">
      <c r="A39" s="435">
        <f>SUM(A38+A35)</f>
        <v>1410000</v>
      </c>
      <c r="B39" s="209" t="s">
        <v>1024</v>
      </c>
      <c r="C39" s="209"/>
      <c r="D39" s="209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88" zoomScaleNormal="88" workbookViewId="0" topLeftCell="B1">
      <selection activeCell="J7" sqref="J7"/>
    </sheetView>
  </sheetViews>
  <sheetFormatPr defaultColWidth="9.140625" defaultRowHeight="12.75"/>
  <cols>
    <col min="1" max="1" width="39.00390625" style="0" customWidth="1"/>
    <col min="2" max="4" width="8.140625" style="0" customWidth="1"/>
    <col min="5" max="5" width="22.7109375" style="0" customWidth="1"/>
    <col min="6" max="6" width="17.57421875" style="0" bestFit="1" customWidth="1"/>
    <col min="7" max="7" width="18.00390625" style="0" customWidth="1"/>
    <col min="8" max="8" width="16.00390625" style="0" customWidth="1"/>
    <col min="9" max="9" width="13.57421875" style="0" bestFit="1" customWidth="1"/>
    <col min="10" max="10" width="13.57421875" style="0" customWidth="1"/>
    <col min="11" max="11" width="19.28125" style="0" customWidth="1"/>
    <col min="12" max="12" width="18.8515625" style="0" bestFit="1" customWidth="1"/>
    <col min="13" max="13" width="18.28125" style="0" bestFit="1" customWidth="1"/>
    <col min="14" max="14" width="14.421875" style="0" customWidth="1"/>
    <col min="15" max="15" width="13.57421875" style="0" bestFit="1" customWidth="1"/>
    <col min="16" max="16" width="12.140625" style="0" bestFit="1" customWidth="1"/>
    <col min="17" max="17" width="14.00390625" style="0" bestFit="1" customWidth="1"/>
  </cols>
  <sheetData>
    <row r="1" spans="1:3" ht="23.25">
      <c r="A1" s="53" t="s">
        <v>94</v>
      </c>
      <c r="B1" s="53"/>
      <c r="C1" s="53"/>
    </row>
    <row r="2" spans="5:6" ht="12.75">
      <c r="E2" s="7" t="s">
        <v>95</v>
      </c>
      <c r="F2" s="51" t="s">
        <v>96</v>
      </c>
    </row>
    <row r="3" spans="1:13" ht="12.75">
      <c r="A3" t="s">
        <v>194</v>
      </c>
      <c r="B3" s="455" t="s">
        <v>201</v>
      </c>
      <c r="C3" s="455"/>
      <c r="D3" s="455"/>
      <c r="E3" s="7" t="s">
        <v>97</v>
      </c>
      <c r="F3" s="51" t="s">
        <v>98</v>
      </c>
      <c r="G3" s="51"/>
      <c r="J3" t="s">
        <v>113</v>
      </c>
      <c r="M3" t="s">
        <v>246</v>
      </c>
    </row>
    <row r="4" spans="1:17" ht="13.5" thickBot="1">
      <c r="A4" s="54" t="s">
        <v>57</v>
      </c>
      <c r="B4" s="30" t="s">
        <v>99</v>
      </c>
      <c r="C4" s="30" t="s">
        <v>100</v>
      </c>
      <c r="D4" s="30" t="s">
        <v>101</v>
      </c>
      <c r="E4" s="55" t="s">
        <v>102</v>
      </c>
      <c r="F4" s="55" t="s">
        <v>103</v>
      </c>
      <c r="G4" s="217" t="s">
        <v>410</v>
      </c>
      <c r="H4" s="55" t="s">
        <v>414</v>
      </c>
      <c r="I4" s="55" t="s">
        <v>615</v>
      </c>
      <c r="J4" s="217" t="s">
        <v>411</v>
      </c>
      <c r="K4" s="56" t="s">
        <v>104</v>
      </c>
      <c r="L4" s="56" t="s">
        <v>105</v>
      </c>
      <c r="M4" s="56" t="s">
        <v>106</v>
      </c>
      <c r="N4" s="57" t="s">
        <v>107</v>
      </c>
      <c r="O4" s="143" t="s">
        <v>247</v>
      </c>
      <c r="P4" s="143" t="s">
        <v>248</v>
      </c>
      <c r="Q4" s="143" t="s">
        <v>249</v>
      </c>
    </row>
    <row r="5" spans="1:17" ht="18" customHeight="1" thickTop="1">
      <c r="A5" s="58" t="s">
        <v>108</v>
      </c>
      <c r="B5" s="59">
        <v>120</v>
      </c>
      <c r="C5" s="60">
        <v>7.1</v>
      </c>
      <c r="D5" s="142">
        <f>SUM(B5/C5)</f>
        <v>16.901408450704228</v>
      </c>
      <c r="E5" s="61">
        <v>266</v>
      </c>
      <c r="F5" s="216">
        <v>3278</v>
      </c>
      <c r="G5" s="215">
        <v>8</v>
      </c>
      <c r="H5" s="218">
        <f>SUM(F5*G5)</f>
        <v>26224</v>
      </c>
      <c r="I5" s="218">
        <f>SUM(H5/43560)</f>
        <v>0.602020202020202</v>
      </c>
      <c r="J5" s="215">
        <v>20</v>
      </c>
      <c r="K5" s="28">
        <f>SUM(F5*G5*J5)</f>
        <v>524480</v>
      </c>
      <c r="L5" s="28">
        <f>SUM($F$5*C5)</f>
        <v>23273.8</v>
      </c>
      <c r="M5" s="28">
        <f>SUM($F$5*D5)</f>
        <v>55402.816901408456</v>
      </c>
      <c r="N5" s="27">
        <f>SUM($F$5*E5)</f>
        <v>871948</v>
      </c>
      <c r="O5">
        <f>SUM(K5/747)</f>
        <v>702.1151271753681</v>
      </c>
      <c r="P5" s="144">
        <f>'Old ROI'!$C$7</f>
        <v>1397</v>
      </c>
      <c r="Q5" s="28">
        <f>SUM(K5*P5)/747</f>
        <v>980854.8326639893</v>
      </c>
    </row>
    <row r="6" spans="1:17" ht="18" customHeight="1">
      <c r="A6" s="58"/>
      <c r="B6" s="59">
        <v>120</v>
      </c>
      <c r="C6" s="60">
        <v>7.1</v>
      </c>
      <c r="D6" s="142">
        <f>SUM(B6/C6)</f>
        <v>16.901408450704228</v>
      </c>
      <c r="E6" s="61">
        <v>266</v>
      </c>
      <c r="F6" s="216">
        <v>5280</v>
      </c>
      <c r="G6" s="215">
        <v>8</v>
      </c>
      <c r="H6" s="218">
        <f>SUM(F6*G6)</f>
        <v>42240</v>
      </c>
      <c r="I6" s="218">
        <f>SUM(H6/43560)</f>
        <v>0.9696969696969697</v>
      </c>
      <c r="J6" s="215">
        <v>20</v>
      </c>
      <c r="K6" s="28">
        <f>SUM(F6*G6*J6)</f>
        <v>844800</v>
      </c>
      <c r="L6" s="28">
        <f>SUM($F$6*C6)</f>
        <v>37488</v>
      </c>
      <c r="M6" s="28">
        <f>SUM($F$6*D6)</f>
        <v>89239.43661971833</v>
      </c>
      <c r="N6" s="27">
        <f>SUM($F$6*E6)</f>
        <v>1404480</v>
      </c>
      <c r="O6">
        <f>SUM(K6/747)</f>
        <v>1130.9236947791164</v>
      </c>
      <c r="P6" s="144">
        <f>'Old ROI'!$C$8</f>
        <v>867.537</v>
      </c>
      <c r="Q6" s="28">
        <f>SUM(K6*P6)/747</f>
        <v>981118.1493975904</v>
      </c>
    </row>
    <row r="7" spans="1:11" ht="12.75">
      <c r="A7" s="62" t="s">
        <v>109</v>
      </c>
      <c r="B7" s="62"/>
      <c r="C7" s="62"/>
      <c r="K7">
        <f>SUM(K6*2)</f>
        <v>1689600</v>
      </c>
    </row>
    <row r="8" ht="12.75">
      <c r="A8" s="15" t="s">
        <v>110</v>
      </c>
    </row>
    <row r="9" spans="5:7" ht="12.75">
      <c r="E9" t="s">
        <v>111</v>
      </c>
      <c r="F9" s="63">
        <f>SUM(E5/B5)</f>
        <v>2.216666666666667</v>
      </c>
      <c r="G9" t="s">
        <v>112</v>
      </c>
    </row>
    <row r="10" spans="1:7" ht="12.75">
      <c r="A10" s="11" t="s">
        <v>184</v>
      </c>
      <c r="B10" s="11"/>
      <c r="C10" s="11"/>
      <c r="D10" s="11"/>
      <c r="E10" s="11"/>
      <c r="F10" s="11"/>
      <c r="G10" t="s">
        <v>22</v>
      </c>
    </row>
    <row r="11" spans="4:5" ht="12.75">
      <c r="D11" s="51" t="s">
        <v>178</v>
      </c>
      <c r="E11" s="27">
        <v>0.1</v>
      </c>
    </row>
    <row r="12" spans="4:5" ht="12.75">
      <c r="D12" s="51" t="s">
        <v>180</v>
      </c>
      <c r="E12" s="92">
        <f>SUM(E11/1000)</f>
        <v>0.0001</v>
      </c>
    </row>
    <row r="13" spans="4:6" ht="12.75">
      <c r="D13" s="51" t="s">
        <v>768</v>
      </c>
      <c r="E13" s="71">
        <f>$K$5</f>
        <v>524480</v>
      </c>
      <c r="F13" s="27">
        <f>SUM(E13*$E$11)/1000</f>
        <v>52.448</v>
      </c>
    </row>
    <row r="14" spans="4:6" ht="12.75">
      <c r="D14" s="51" t="s">
        <v>182</v>
      </c>
      <c r="E14" s="51">
        <f>'Installation Checklist'!$A$57</f>
        <v>1397</v>
      </c>
      <c r="F14" s="27"/>
    </row>
    <row r="15" spans="4:6" ht="12.75">
      <c r="D15" s="51" t="s">
        <v>415</v>
      </c>
      <c r="E15" s="296">
        <f>SUM(E14*0.62)</f>
        <v>866.14</v>
      </c>
      <c r="F15" s="27"/>
    </row>
    <row r="16" spans="1:8" ht="13.5" thickBot="1">
      <c r="A16" s="35"/>
      <c r="B16" s="35"/>
      <c r="C16" s="35"/>
      <c r="D16" s="64" t="s">
        <v>767</v>
      </c>
      <c r="E16" s="65">
        <f>SUM(E14*E13)</f>
        <v>732698560</v>
      </c>
      <c r="F16" s="27">
        <f>SUM(E16*$E$11)/1000</f>
        <v>73269.856</v>
      </c>
      <c r="G16" s="226"/>
      <c r="H16" s="226"/>
    </row>
    <row r="17" spans="3:9" ht="15.75" thickBot="1">
      <c r="C17" s="297"/>
      <c r="D17" s="298" t="s">
        <v>174</v>
      </c>
      <c r="E17" s="299">
        <f>SUM(E16*2)</f>
        <v>1465397120</v>
      </c>
      <c r="F17" t="s">
        <v>183</v>
      </c>
      <c r="G17" s="226">
        <f>SUM(TwinRail_Output*0.001)</f>
        <v>1465397.12</v>
      </c>
      <c r="H17" s="102">
        <f>SUM(G17*10*365)</f>
        <v>5348699488</v>
      </c>
      <c r="I17" s="102"/>
    </row>
    <row r="18" spans="3:5" ht="12.75">
      <c r="C18" s="81"/>
      <c r="D18" s="88" t="s">
        <v>539</v>
      </c>
      <c r="E18" s="91">
        <f>SUM(E17/J5)</f>
        <v>73269856</v>
      </c>
    </row>
    <row r="19" spans="3:5" ht="12.75">
      <c r="C19" s="81"/>
      <c r="D19" s="88" t="s">
        <v>539</v>
      </c>
      <c r="E19" s="91">
        <f>SUM(H6*E15)*2</f>
        <v>73171507.2</v>
      </c>
    </row>
    <row r="20" spans="3:6" ht="15.75">
      <c r="C20" s="81"/>
      <c r="D20" s="88" t="s">
        <v>540</v>
      </c>
      <c r="E20" s="91">
        <f>SUM(E18/43560)</f>
        <v>1682.0444444444445</v>
      </c>
      <c r="F20" s="243" t="s">
        <v>541</v>
      </c>
    </row>
    <row r="21" spans="3:9" ht="15.75">
      <c r="C21" s="81"/>
      <c r="D21" s="88"/>
      <c r="E21" s="91"/>
      <c r="F21" s="243"/>
      <c r="H21" s="102">
        <f>SUM(E21*43560)</f>
        <v>0</v>
      </c>
      <c r="I21" s="102"/>
    </row>
    <row r="22" spans="3:9" ht="12.75">
      <c r="C22" s="81"/>
      <c r="D22" s="88" t="s">
        <v>408</v>
      </c>
      <c r="E22" s="91">
        <f>SUM(E17/747)</f>
        <v>1961709.6653279786</v>
      </c>
      <c r="F22" t="s">
        <v>409</v>
      </c>
      <c r="H22" s="244">
        <f>SUM(H21*J5)</f>
        <v>0</v>
      </c>
      <c r="I22" s="244"/>
    </row>
    <row r="23" spans="3:5" ht="12.75">
      <c r="C23" s="81"/>
      <c r="D23" s="88" t="s">
        <v>412</v>
      </c>
      <c r="E23" s="91">
        <v>300</v>
      </c>
    </row>
    <row r="24" spans="3:5" ht="12.75">
      <c r="C24" s="81"/>
      <c r="D24" s="88" t="s">
        <v>416</v>
      </c>
      <c r="E24" s="91">
        <f>SUM(E22/E23)</f>
        <v>6539.032217759928</v>
      </c>
    </row>
    <row r="25" spans="2:5" ht="13.5" thickBot="1">
      <c r="B25" s="35"/>
      <c r="C25" s="35"/>
      <c r="D25" s="219" t="s">
        <v>413</v>
      </c>
      <c r="E25" s="65">
        <f>SUM(E24/E15)</f>
        <v>7.549625023391055</v>
      </c>
    </row>
    <row r="26" spans="3:7" ht="12.75">
      <c r="C26" s="81"/>
      <c r="D26" s="88" t="s">
        <v>176</v>
      </c>
      <c r="E26" s="91">
        <v>15000</v>
      </c>
      <c r="F26" t="s">
        <v>175</v>
      </c>
      <c r="G26" s="27">
        <f>SUM(E26*E11)/1000*30</f>
        <v>45</v>
      </c>
    </row>
    <row r="27" spans="3:5" ht="12.75">
      <c r="C27" s="81"/>
      <c r="D27" s="88" t="s">
        <v>769</v>
      </c>
      <c r="E27" s="91">
        <f>SUM(E17/E26)</f>
        <v>97693.14133333333</v>
      </c>
    </row>
    <row r="28" spans="4:7" ht="12.75">
      <c r="D28" s="88" t="s">
        <v>181</v>
      </c>
      <c r="E28" s="27">
        <f>SUM(E17*E12)</f>
        <v>146539.712</v>
      </c>
      <c r="F28" t="s">
        <v>770</v>
      </c>
      <c r="G28" s="27">
        <f>SUM(E28*5)*365</f>
        <v>267434974.4</v>
      </c>
    </row>
    <row r="29" spans="4:6" ht="12.75">
      <c r="D29" s="88" t="s">
        <v>747</v>
      </c>
      <c r="E29" s="28">
        <f>SUM(E17*3.413)</f>
        <v>5001400370.559999</v>
      </c>
      <c r="F29" s="74" t="s">
        <v>748</v>
      </c>
    </row>
    <row r="30" spans="4:5" ht="12.75">
      <c r="D30" s="51" t="s">
        <v>106</v>
      </c>
      <c r="E30" s="28">
        <f>$M$5</f>
        <v>55402.816901408456</v>
      </c>
    </row>
    <row r="31" spans="4:11" ht="12.75">
      <c r="D31" s="51" t="s">
        <v>114</v>
      </c>
      <c r="E31" s="51">
        <f>'Old ROI'!$C$7</f>
        <v>1397</v>
      </c>
      <c r="G31" s="456"/>
      <c r="H31" s="456"/>
      <c r="I31" s="456"/>
      <c r="J31" s="456"/>
      <c r="K31" s="456"/>
    </row>
    <row r="32" spans="1:11" ht="13.5" thickBot="1">
      <c r="A32" s="35"/>
      <c r="B32" s="35"/>
      <c r="C32" s="35"/>
      <c r="D32" s="64" t="s">
        <v>115</v>
      </c>
      <c r="E32" s="65">
        <f>SUM(E31*E30)</f>
        <v>77397735.21126762</v>
      </c>
      <c r="G32" s="456"/>
      <c r="H32" s="456"/>
      <c r="I32" s="456"/>
      <c r="J32" s="456"/>
      <c r="K32" s="456"/>
    </row>
    <row r="33" spans="3:6" ht="13.5" thickBot="1">
      <c r="C33" s="89"/>
      <c r="D33" s="90" t="s">
        <v>174</v>
      </c>
      <c r="E33" s="65">
        <f>SUM(E32*2)</f>
        <v>154795470.42253524</v>
      </c>
      <c r="F33" t="s">
        <v>417</v>
      </c>
    </row>
    <row r="34" spans="3:5" ht="12.75">
      <c r="C34" s="81"/>
      <c r="D34" s="88" t="s">
        <v>179</v>
      </c>
      <c r="E34" s="91"/>
    </row>
    <row r="35" spans="3:5" ht="12.75">
      <c r="C35" s="81"/>
      <c r="D35" s="88" t="s">
        <v>177</v>
      </c>
      <c r="E35" s="91"/>
    </row>
    <row r="36" spans="1:5" ht="12.75">
      <c r="A36" s="43" t="s">
        <v>116</v>
      </c>
      <c r="B36" s="51"/>
      <c r="C36" s="51"/>
      <c r="D36" s="51"/>
      <c r="E36" s="51"/>
    </row>
    <row r="37" spans="1:4" ht="12.75">
      <c r="A37" s="66" t="s">
        <v>57</v>
      </c>
      <c r="B37" s="30" t="s">
        <v>117</v>
      </c>
      <c r="C37" s="30" t="s">
        <v>59</v>
      </c>
      <c r="D37" s="30" t="s">
        <v>56</v>
      </c>
    </row>
    <row r="38" spans="1:5" ht="12.75">
      <c r="A38" s="51" t="s">
        <v>118</v>
      </c>
      <c r="B38" s="67">
        <v>150</v>
      </c>
      <c r="C38" s="51">
        <f>SUM(B38*1.609)</f>
        <v>241.35</v>
      </c>
      <c r="D38" s="68" t="s">
        <v>93</v>
      </c>
      <c r="E38" s="68"/>
    </row>
    <row r="39" spans="1:4" ht="12.75">
      <c r="A39" s="51" t="s">
        <v>119</v>
      </c>
      <c r="B39" s="69">
        <v>524</v>
      </c>
      <c r="C39" s="51">
        <f>SUM(B39*0.621)</f>
        <v>325.404</v>
      </c>
      <c r="D39" s="68" t="s">
        <v>40</v>
      </c>
    </row>
    <row r="40" spans="1:9" ht="12.75">
      <c r="A40" s="51"/>
      <c r="B40" s="70"/>
      <c r="C40" s="51"/>
      <c r="D40" s="68"/>
      <c r="I40" t="s">
        <v>246</v>
      </c>
    </row>
    <row r="41" spans="2:10" ht="12.75">
      <c r="B41" s="30" t="s">
        <v>120</v>
      </c>
      <c r="C41" s="30" t="s">
        <v>121</v>
      </c>
      <c r="D41" s="30" t="s">
        <v>122</v>
      </c>
      <c r="E41" s="30" t="s">
        <v>92</v>
      </c>
      <c r="F41" s="30" t="s">
        <v>123</v>
      </c>
      <c r="G41" s="30" t="s">
        <v>124</v>
      </c>
      <c r="H41" s="30" t="s">
        <v>125</v>
      </c>
      <c r="I41" s="143" t="s">
        <v>247</v>
      </c>
      <c r="J41" s="143"/>
    </row>
    <row r="42" spans="1:9" ht="12.75">
      <c r="A42" s="51" t="s">
        <v>126</v>
      </c>
      <c r="B42">
        <v>5280</v>
      </c>
      <c r="C42">
        <v>12</v>
      </c>
      <c r="D42" s="71">
        <f>SUM(C42*B42)</f>
        <v>63360</v>
      </c>
      <c r="E42">
        <v>1</v>
      </c>
      <c r="F42">
        <v>8</v>
      </c>
      <c r="G42" s="71">
        <f>SUM(F42*D42)*E42</f>
        <v>506880</v>
      </c>
      <c r="H42" s="71">
        <f>SUM(D42*E42)</f>
        <v>63360</v>
      </c>
      <c r="I42">
        <f>SUM(G42/747)</f>
        <v>678.5542168674699</v>
      </c>
    </row>
    <row r="43" spans="1:9" ht="12.75">
      <c r="A43" s="51" t="s">
        <v>127</v>
      </c>
      <c r="B43">
        <v>3278</v>
      </c>
      <c r="C43">
        <v>12</v>
      </c>
      <c r="D43" s="71">
        <f>SUM(C43*B43)</f>
        <v>39336</v>
      </c>
      <c r="E43">
        <v>1</v>
      </c>
      <c r="F43">
        <v>8</v>
      </c>
      <c r="G43" s="71">
        <f>SUM(F43*D43)*E43</f>
        <v>314688</v>
      </c>
      <c r="H43" s="71">
        <f>SUM(D43*E43)</f>
        <v>39336</v>
      </c>
      <c r="I43">
        <f>SUM(G43/747)</f>
        <v>421.2690763052209</v>
      </c>
    </row>
    <row r="44" ht="12.75">
      <c r="E44" t="s">
        <v>22</v>
      </c>
    </row>
    <row r="45" ht="12.75">
      <c r="A45" t="s">
        <v>752</v>
      </c>
    </row>
    <row r="46" ht="12.75">
      <c r="A46" t="s">
        <v>753</v>
      </c>
    </row>
    <row r="47" ht="12.75">
      <c r="A47" t="s">
        <v>745</v>
      </c>
    </row>
    <row r="48" ht="12.75">
      <c r="A48" t="s">
        <v>754</v>
      </c>
    </row>
    <row r="50" ht="12.75">
      <c r="A50" t="s">
        <v>756</v>
      </c>
    </row>
    <row r="51" ht="12.75">
      <c r="A51" t="s">
        <v>757</v>
      </c>
    </row>
    <row r="52" ht="12.75">
      <c r="A52" t="s">
        <v>758</v>
      </c>
    </row>
    <row r="53" ht="12.75">
      <c r="A53" t="s">
        <v>759</v>
      </c>
    </row>
    <row r="54" ht="12.75">
      <c r="A54" t="s">
        <v>760</v>
      </c>
    </row>
    <row r="55" ht="12.75">
      <c r="A55" t="s">
        <v>761</v>
      </c>
    </row>
    <row r="56" ht="12.75">
      <c r="A56" t="s">
        <v>762</v>
      </c>
    </row>
    <row r="57" ht="12.75">
      <c r="A57" t="s">
        <v>745</v>
      </c>
    </row>
    <row r="58" ht="12.75">
      <c r="A58" t="s">
        <v>755</v>
      </c>
    </row>
  </sheetData>
  <sheetProtection/>
  <mergeCells count="2">
    <mergeCell ref="B3:D3"/>
    <mergeCell ref="G31:K32"/>
  </mergeCells>
  <hyperlinks>
    <hyperlink ref="A8" r:id="rId1" display="http://pvsolarmodules.com/kyocera.html"/>
  </hyperlinks>
  <printOptions/>
  <pageMargins left="0.75" right="0.75" top="1" bottom="1" header="0.5" footer="0.5"/>
  <pageSetup fitToHeight="1" fitToWidth="1" horizontalDpi="600" verticalDpi="600" orientation="landscape" scale="38" r:id="rId2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workbookViewId="0" topLeftCell="C1">
      <selection activeCell="G32" sqref="G32"/>
    </sheetView>
  </sheetViews>
  <sheetFormatPr defaultColWidth="9.140625" defaultRowHeight="12.75"/>
  <cols>
    <col min="1" max="1" width="19.140625" style="0" customWidth="1"/>
    <col min="2" max="2" width="20.140625" style="0" customWidth="1"/>
    <col min="3" max="3" width="18.8515625" style="0" customWidth="1"/>
    <col min="4" max="4" width="27.421875" style="0" bestFit="1" customWidth="1"/>
    <col min="5" max="5" width="25.28125" style="0" bestFit="1" customWidth="1"/>
    <col min="6" max="6" width="34.421875" style="0" bestFit="1" customWidth="1"/>
    <col min="7" max="7" width="14.28125" style="0" customWidth="1"/>
    <col min="8" max="8" width="18.140625" style="0" bestFit="1" customWidth="1"/>
    <col min="9" max="9" width="17.57421875" style="0" bestFit="1" customWidth="1"/>
    <col min="10" max="10" width="17.57421875" style="0" customWidth="1"/>
    <col min="11" max="11" width="16.421875" style="0" bestFit="1" customWidth="1"/>
  </cols>
  <sheetData>
    <row r="1" spans="1:3" ht="23.25">
      <c r="A1" s="53" t="s">
        <v>128</v>
      </c>
      <c r="B1" s="53"/>
      <c r="C1" s="53"/>
    </row>
    <row r="3" spans="1:6" ht="12.75">
      <c r="A3" t="s">
        <v>234</v>
      </c>
      <c r="F3" t="s">
        <v>792</v>
      </c>
    </row>
    <row r="4" spans="1:11" ht="15">
      <c r="A4" s="72" t="s">
        <v>235</v>
      </c>
      <c r="B4" s="72" t="s">
        <v>57</v>
      </c>
      <c r="C4" s="72" t="s">
        <v>129</v>
      </c>
      <c r="D4" s="72" t="s">
        <v>130</v>
      </c>
      <c r="E4" s="72" t="s">
        <v>236</v>
      </c>
      <c r="F4" s="72" t="s">
        <v>268</v>
      </c>
      <c r="G4" s="72"/>
      <c r="H4" s="72" t="s">
        <v>269</v>
      </c>
      <c r="I4" s="72" t="s">
        <v>237</v>
      </c>
      <c r="J4" s="72" t="s">
        <v>793</v>
      </c>
      <c r="K4" s="72" t="s">
        <v>791</v>
      </c>
    </row>
    <row r="5" spans="1:11" ht="15">
      <c r="A5" s="130">
        <f>SolarCells!$E$17</f>
        <v>1465397120</v>
      </c>
      <c r="B5" s="19" t="s">
        <v>131</v>
      </c>
      <c r="C5" s="19">
        <v>4.2</v>
      </c>
      <c r="D5" s="19">
        <v>1</v>
      </c>
      <c r="E5" s="264">
        <f>SUM(A5/(C5*1000)*D5)</f>
        <v>348904.0761904762</v>
      </c>
      <c r="F5" s="264">
        <f>SUM(E5/12)</f>
        <v>29075.33968253968</v>
      </c>
      <c r="G5" s="264"/>
      <c r="H5" s="27">
        <v>2.5</v>
      </c>
      <c r="I5" s="27">
        <f>SUM(F5*H5)</f>
        <v>72688.3492063492</v>
      </c>
      <c r="J5" s="27">
        <f>SUM(I5*10)</f>
        <v>726883.4920634921</v>
      </c>
      <c r="K5" s="227">
        <f>SUM(E5*C48)</f>
        <v>28365.901394285713</v>
      </c>
    </row>
    <row r="6" spans="1:10" ht="15">
      <c r="A6" s="73">
        <f>SolarCells!$E$13</f>
        <v>524480</v>
      </c>
      <c r="B6" s="19" t="s">
        <v>131</v>
      </c>
      <c r="C6" s="19">
        <v>4.2</v>
      </c>
      <c r="D6" s="19">
        <v>1</v>
      </c>
      <c r="E6" s="19">
        <f>SUM(A6/(C6*1000)*D6)</f>
        <v>124.87619047619047</v>
      </c>
      <c r="F6" s="19">
        <f>SUM(E6/10)</f>
        <v>12.487619047619047</v>
      </c>
      <c r="G6" s="19"/>
      <c r="H6" s="27">
        <v>2.5</v>
      </c>
      <c r="I6" s="27">
        <f>SUM(F6*H6)</f>
        <v>31.21904761904762</v>
      </c>
      <c r="J6" s="27">
        <f>SUM(I6*10)</f>
        <v>312.1904761904762</v>
      </c>
    </row>
    <row r="7" ht="15">
      <c r="A7" s="72" t="s">
        <v>238</v>
      </c>
    </row>
    <row r="8" ht="12.75">
      <c r="A8" t="s">
        <v>239</v>
      </c>
    </row>
    <row r="9" spans="1:4" ht="12.75">
      <c r="A9" s="30" t="s">
        <v>240</v>
      </c>
      <c r="B9" s="30" t="s">
        <v>241</v>
      </c>
      <c r="C9" s="30" t="s">
        <v>242</v>
      </c>
      <c r="D9" s="131" t="s">
        <v>243</v>
      </c>
    </row>
    <row r="10" spans="1:4" ht="12.75">
      <c r="A10">
        <v>100</v>
      </c>
      <c r="B10">
        <f>$E$5</f>
        <v>348904.0761904762</v>
      </c>
      <c r="C10">
        <f>SUM(B10/A10)</f>
        <v>3489.040761904762</v>
      </c>
      <c r="D10">
        <v>500</v>
      </c>
    </row>
    <row r="13" spans="1:14" ht="12.75">
      <c r="A13" s="74" t="s">
        <v>132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5" spans="2:7" ht="12.75">
      <c r="B15" s="5" t="s">
        <v>133</v>
      </c>
      <c r="C15" s="5"/>
      <c r="D15" s="5"/>
      <c r="E15" s="15"/>
      <c r="F15" s="15"/>
      <c r="G15" s="15"/>
    </row>
    <row r="16" ht="12.75">
      <c r="B16" s="15" t="s">
        <v>244</v>
      </c>
    </row>
    <row r="19" ht="12.75">
      <c r="A19" t="s">
        <v>195</v>
      </c>
    </row>
    <row r="20" ht="12.75">
      <c r="A20" s="15" t="s">
        <v>200</v>
      </c>
    </row>
    <row r="21" spans="1:7" ht="15">
      <c r="A21" s="72" t="s">
        <v>57</v>
      </c>
      <c r="B21" s="72" t="s">
        <v>99</v>
      </c>
      <c r="C21" s="72" t="s">
        <v>197</v>
      </c>
      <c r="D21" s="72" t="s">
        <v>56</v>
      </c>
      <c r="E21" s="72" t="s">
        <v>199</v>
      </c>
      <c r="F21" s="72"/>
      <c r="G21" s="72"/>
    </row>
    <row r="22" spans="2:7" ht="12.75">
      <c r="B22" t="s">
        <v>196</v>
      </c>
      <c r="C22">
        <v>6</v>
      </c>
      <c r="D22" t="s">
        <v>198</v>
      </c>
      <c r="E22" s="132">
        <v>0.5</v>
      </c>
      <c r="F22" s="132"/>
      <c r="G22" s="132"/>
    </row>
    <row r="24" ht="12.75">
      <c r="A24" t="s">
        <v>250</v>
      </c>
    </row>
    <row r="25" ht="12.75">
      <c r="A25" t="s">
        <v>251</v>
      </c>
    </row>
    <row r="27" ht="12.75">
      <c r="A27" t="s">
        <v>252</v>
      </c>
    </row>
    <row r="28" ht="12.75">
      <c r="B28" t="s">
        <v>253</v>
      </c>
    </row>
    <row r="29" ht="12.75">
      <c r="A29" s="15" t="s">
        <v>764</v>
      </c>
    </row>
    <row r="31" spans="1:10" ht="12.75">
      <c r="A31" s="30" t="s">
        <v>1051</v>
      </c>
      <c r="B31" s="30" t="s">
        <v>1052</v>
      </c>
      <c r="C31" s="30" t="s">
        <v>771</v>
      </c>
      <c r="D31" s="30" t="s">
        <v>1053</v>
      </c>
      <c r="E31" s="30" t="s">
        <v>763</v>
      </c>
      <c r="F31" s="30" t="s">
        <v>772</v>
      </c>
      <c r="G31" s="30" t="s">
        <v>802</v>
      </c>
      <c r="H31" s="30" t="s">
        <v>773</v>
      </c>
      <c r="I31" s="30" t="s">
        <v>774</v>
      </c>
      <c r="J31" s="30"/>
    </row>
    <row r="32" spans="1:10" ht="12.75">
      <c r="A32" s="28">
        <f>SolarCells!$E$17</f>
        <v>1465397120</v>
      </c>
      <c r="B32" s="226">
        <f>SUM(A32/1000)</f>
        <v>1465397.12</v>
      </c>
      <c r="C32">
        <v>50.44</v>
      </c>
      <c r="D32" s="226">
        <f>SUM(B32/C32)</f>
        <v>29052.282315622524</v>
      </c>
      <c r="E32" s="227">
        <f>SUM(D32)</f>
        <v>29052.282315622524</v>
      </c>
      <c r="F32" s="227">
        <f>SUM(E32*10)</f>
        <v>290522.82315622526</v>
      </c>
      <c r="G32" s="227">
        <f>SUM(F32*0.5)</f>
        <v>145261.41157811263</v>
      </c>
      <c r="H32" s="227">
        <f>SUM(F32*30)</f>
        <v>8715684.694686757</v>
      </c>
      <c r="I32" s="227">
        <f>SUM(F32*365)</f>
        <v>106040830.45202222</v>
      </c>
      <c r="J32" s="227"/>
    </row>
    <row r="33" spans="1:7" ht="12.75">
      <c r="A33" t="s">
        <v>752</v>
      </c>
      <c r="F33" s="227">
        <f>SUM(F32/2)</f>
        <v>145261.41157811263</v>
      </c>
      <c r="G33" s="227"/>
    </row>
    <row r="34" spans="1:8" ht="12.75">
      <c r="A34" t="s">
        <v>753</v>
      </c>
      <c r="F34" s="227">
        <f>SUM(F33/'Installation Checklist'!A61)</f>
        <v>110.63321521562273</v>
      </c>
      <c r="G34" s="227"/>
      <c r="H34" t="s">
        <v>776</v>
      </c>
    </row>
    <row r="35" ht="12.75">
      <c r="A35" t="s">
        <v>745</v>
      </c>
    </row>
    <row r="36" ht="12.75">
      <c r="A36" t="s">
        <v>754</v>
      </c>
    </row>
    <row r="38" ht="12.75">
      <c r="A38" t="s">
        <v>756</v>
      </c>
    </row>
    <row r="39" ht="12.75">
      <c r="A39" t="s">
        <v>757</v>
      </c>
    </row>
    <row r="40" ht="12.75">
      <c r="A40" t="s">
        <v>758</v>
      </c>
    </row>
    <row r="41" ht="12.75">
      <c r="A41" t="s">
        <v>759</v>
      </c>
    </row>
    <row r="42" ht="12.75">
      <c r="A42" t="s">
        <v>760</v>
      </c>
    </row>
    <row r="43" ht="12.75">
      <c r="A43" t="s">
        <v>761</v>
      </c>
    </row>
    <row r="44" ht="12.75">
      <c r="A44" t="s">
        <v>762</v>
      </c>
    </row>
    <row r="45" ht="12.75">
      <c r="A45" t="s">
        <v>745</v>
      </c>
    </row>
    <row r="46" ht="12.75">
      <c r="A46" t="s">
        <v>755</v>
      </c>
    </row>
    <row r="48" spans="1:4" ht="12.75">
      <c r="A48" t="s">
        <v>456</v>
      </c>
      <c r="C48">
        <v>0.0813</v>
      </c>
      <c r="D48" t="s">
        <v>457</v>
      </c>
    </row>
    <row r="50" ht="12.75">
      <c r="H50" t="s">
        <v>22</v>
      </c>
    </row>
  </sheetData>
  <sheetProtection/>
  <hyperlinks>
    <hyperlink ref="B15" r:id="rId1" display="http://www.stuartenergy.com/hydrogen/techreview.asp"/>
    <hyperlink ref="A20" r:id="rId2" display="http://www.fuelcellstore.com/cgi-bin/fuelweb/view=item/cat=23/subcat=26/product=181 "/>
    <hyperlink ref="B16" r:id="rId3" display="http://www.stuartenergy.com/technology/tech_platforms.html "/>
    <hyperlink ref="A5" location="SolarCells!A1" display="SolarCells!A1"/>
    <hyperlink ref="A29" r:id="rId4" display="http://www-formal.stanford.edu/jmc/progress/hydrogen.html "/>
  </hyperlinks>
  <printOptions/>
  <pageMargins left="0.75" right="0.75" top="1" bottom="1" header="0.5" footer="0.5"/>
  <pageSetup fitToHeight="1" fitToWidth="1" horizontalDpi="600" verticalDpi="600" orientation="landscape" scale="67" r:id="rId5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5:G33"/>
  <sheetViews>
    <sheetView workbookViewId="0" topLeftCell="A1">
      <selection activeCell="A33" sqref="A33"/>
    </sheetView>
  </sheetViews>
  <sheetFormatPr defaultColWidth="9.140625" defaultRowHeight="12.75"/>
  <cols>
    <col min="1" max="1" width="18.00390625" style="0" customWidth="1"/>
    <col min="2" max="2" width="14.7109375" style="0" customWidth="1"/>
    <col min="3" max="3" width="31.00390625" style="0" customWidth="1"/>
    <col min="4" max="5" width="15.28125" style="0" customWidth="1"/>
    <col min="6" max="6" width="21.140625" style="0" customWidth="1"/>
    <col min="7" max="7" width="18.28125" style="0" customWidth="1"/>
  </cols>
  <sheetData>
    <row r="5" ht="15.75">
      <c r="A5" s="199" t="s">
        <v>350</v>
      </c>
    </row>
    <row r="6" spans="1:7" ht="12.75">
      <c r="A6" s="30" t="s">
        <v>56</v>
      </c>
      <c r="B6" s="30"/>
      <c r="C6" s="30" t="s">
        <v>351</v>
      </c>
      <c r="D6" s="30" t="s">
        <v>360</v>
      </c>
      <c r="E6" s="30" t="s">
        <v>363</v>
      </c>
      <c r="F6" s="30" t="s">
        <v>361</v>
      </c>
      <c r="G6" s="30" t="s">
        <v>362</v>
      </c>
    </row>
    <row r="7" spans="1:7" ht="12.75">
      <c r="A7" s="177">
        <f>'Installation Checklist'!$A$57</f>
        <v>1397</v>
      </c>
      <c r="B7" t="s">
        <v>66</v>
      </c>
      <c r="C7" s="177" t="s">
        <v>352</v>
      </c>
      <c r="D7" s="182">
        <v>4000</v>
      </c>
      <c r="E7" s="136">
        <f>SUM(F7/30)</f>
        <v>186266.66666666666</v>
      </c>
      <c r="F7" s="147">
        <f aca="true" t="shared" si="0" ref="F7:F15">SUM(D7*A7)</f>
        <v>5588000</v>
      </c>
      <c r="G7" s="27">
        <f>SUM(F7*12)</f>
        <v>67056000</v>
      </c>
    </row>
    <row r="8" spans="1:7" ht="12.75">
      <c r="A8" s="177">
        <f>'Installation Checklist'!$A$43</f>
        <v>33</v>
      </c>
      <c r="B8" t="s">
        <v>76</v>
      </c>
      <c r="C8" t="s">
        <v>77</v>
      </c>
      <c r="D8" s="179">
        <v>1500000</v>
      </c>
      <c r="E8" s="136">
        <f aca="true" t="shared" si="1" ref="E8:E15">SUM(F8/30)</f>
        <v>1650000</v>
      </c>
      <c r="F8" s="147">
        <f t="shared" si="0"/>
        <v>49500000</v>
      </c>
      <c r="G8" s="27">
        <f aca="true" t="shared" si="2" ref="G8:G15">SUM(F8*12)</f>
        <v>594000000</v>
      </c>
    </row>
    <row r="9" spans="1:7" ht="12.75">
      <c r="A9" s="177">
        <f>'Installation Checklist'!$A$44</f>
        <v>0</v>
      </c>
      <c r="B9" t="s">
        <v>76</v>
      </c>
      <c r="C9" t="s">
        <v>356</v>
      </c>
      <c r="D9" s="179">
        <v>800000</v>
      </c>
      <c r="E9" s="136">
        <f t="shared" si="1"/>
        <v>0</v>
      </c>
      <c r="F9" s="147">
        <f t="shared" si="0"/>
        <v>0</v>
      </c>
      <c r="G9" s="27">
        <f t="shared" si="2"/>
        <v>0</v>
      </c>
    </row>
    <row r="10" spans="1:7" ht="12.75">
      <c r="A10" s="197">
        <f>SUM(A7/4)</f>
        <v>349.25</v>
      </c>
      <c r="B10" t="s">
        <v>76</v>
      </c>
      <c r="C10" t="s">
        <v>357</v>
      </c>
      <c r="D10" s="179">
        <v>8000</v>
      </c>
      <c r="E10" s="136">
        <f t="shared" si="1"/>
        <v>93133.33333333333</v>
      </c>
      <c r="F10" s="147">
        <f t="shared" si="0"/>
        <v>2794000</v>
      </c>
      <c r="G10" s="27">
        <f t="shared" si="2"/>
        <v>33528000</v>
      </c>
    </row>
    <row r="11" spans="1:7" ht="12.75">
      <c r="A11" s="177">
        <f>'Installation Checklist'!$A$46</f>
        <v>0</v>
      </c>
      <c r="B11" t="s">
        <v>76</v>
      </c>
      <c r="C11" t="s">
        <v>358</v>
      </c>
      <c r="D11" s="179">
        <v>400000</v>
      </c>
      <c r="E11" s="136">
        <f t="shared" si="1"/>
        <v>0</v>
      </c>
      <c r="F11" s="147">
        <f t="shared" si="0"/>
        <v>0</v>
      </c>
      <c r="G11" s="27">
        <f t="shared" si="2"/>
        <v>0</v>
      </c>
    </row>
    <row r="12" spans="1:7" ht="12.75">
      <c r="A12" s="177">
        <f>'Installation Checklist'!$A$47</f>
        <v>0</v>
      </c>
      <c r="B12" t="s">
        <v>76</v>
      </c>
      <c r="C12" t="s">
        <v>359</v>
      </c>
      <c r="D12" s="179">
        <v>8000</v>
      </c>
      <c r="E12" s="136">
        <f t="shared" si="1"/>
        <v>0</v>
      </c>
      <c r="F12" s="147">
        <f t="shared" si="0"/>
        <v>0</v>
      </c>
      <c r="G12" s="27">
        <f t="shared" si="2"/>
        <v>0</v>
      </c>
    </row>
    <row r="13" spans="1:7" ht="12.75">
      <c r="A13" s="177">
        <f>'Installation Checklist'!$A$48</f>
        <v>0</v>
      </c>
      <c r="B13" t="s">
        <v>76</v>
      </c>
      <c r="C13" t="s">
        <v>353</v>
      </c>
      <c r="D13" s="179">
        <v>250000</v>
      </c>
      <c r="E13" s="136">
        <f t="shared" si="1"/>
        <v>0</v>
      </c>
      <c r="F13" s="147">
        <f t="shared" si="0"/>
        <v>0</v>
      </c>
      <c r="G13" s="27">
        <f t="shared" si="2"/>
        <v>0</v>
      </c>
    </row>
    <row r="14" spans="1:7" ht="12.75">
      <c r="A14" s="177">
        <f>'Installation Checklist'!$A$49</f>
        <v>0</v>
      </c>
      <c r="B14" t="s">
        <v>76</v>
      </c>
      <c r="C14" t="s">
        <v>354</v>
      </c>
      <c r="D14" s="179">
        <v>40000</v>
      </c>
      <c r="E14" s="136">
        <f t="shared" si="1"/>
        <v>0</v>
      </c>
      <c r="F14" s="147">
        <f t="shared" si="0"/>
        <v>0</v>
      </c>
      <c r="G14" s="27">
        <f t="shared" si="2"/>
        <v>0</v>
      </c>
    </row>
    <row r="15" spans="1:7" ht="13.5" thickBot="1">
      <c r="A15" s="198">
        <f>'Installation Checklist'!$A$51</f>
        <v>0</v>
      </c>
      <c r="B15" s="39" t="s">
        <v>76</v>
      </c>
      <c r="C15" s="39" t="s">
        <v>355</v>
      </c>
      <c r="D15" s="180">
        <v>20000</v>
      </c>
      <c r="E15" s="40">
        <f t="shared" si="1"/>
        <v>0</v>
      </c>
      <c r="F15" s="181">
        <f t="shared" si="0"/>
        <v>0</v>
      </c>
      <c r="G15" s="40">
        <f t="shared" si="2"/>
        <v>0</v>
      </c>
    </row>
    <row r="16" spans="1:7" ht="13.5" thickTop="1">
      <c r="A16">
        <f>SUM(A7/1.609)</f>
        <v>868.2411435674331</v>
      </c>
      <c r="B16" s="178" t="s">
        <v>266</v>
      </c>
      <c r="D16" s="27">
        <f>SUM(D7:D15)</f>
        <v>3030000</v>
      </c>
      <c r="E16" s="27">
        <f>SUM(E7:E15)</f>
        <v>1929400</v>
      </c>
      <c r="F16" s="27">
        <f>SUM(F7:F15)</f>
        <v>57882000</v>
      </c>
      <c r="G16" s="27">
        <f>SUM(G7:G15)</f>
        <v>694584000</v>
      </c>
    </row>
    <row r="17" spans="5:7" ht="12.75">
      <c r="E17" s="12" t="s">
        <v>366</v>
      </c>
      <c r="F17" s="12" t="s">
        <v>365</v>
      </c>
      <c r="G17" s="12" t="s">
        <v>364</v>
      </c>
    </row>
    <row r="18" spans="4:7" ht="12.75">
      <c r="D18" s="51" t="s">
        <v>367</v>
      </c>
      <c r="E18" s="27">
        <f>SUM(E16/A16)</f>
        <v>2222.1937007874017</v>
      </c>
      <c r="F18" s="27">
        <f>SUM(F16/A16)</f>
        <v>66665.81102362205</v>
      </c>
      <c r="G18" s="27">
        <f>SUM(G16/A16)</f>
        <v>799989.7322834646</v>
      </c>
    </row>
    <row r="22" ht="15.75">
      <c r="A22" s="199" t="s">
        <v>384</v>
      </c>
    </row>
    <row r="23" spans="3:4" ht="12.75">
      <c r="C23" s="448" t="s">
        <v>1042</v>
      </c>
      <c r="D23" s="441">
        <v>3</v>
      </c>
    </row>
    <row r="24" spans="3:4" ht="12.75">
      <c r="C24" s="448" t="s">
        <v>1043</v>
      </c>
      <c r="D24" s="442">
        <v>3000</v>
      </c>
    </row>
    <row r="25" spans="1:7" ht="12.75">
      <c r="A25" s="30" t="s">
        <v>56</v>
      </c>
      <c r="B25" s="30"/>
      <c r="C25" s="30" t="s">
        <v>351</v>
      </c>
      <c r="D25" s="30" t="s">
        <v>360</v>
      </c>
      <c r="E25" s="30" t="s">
        <v>363</v>
      </c>
      <c r="F25" s="30" t="s">
        <v>361</v>
      </c>
      <c r="G25" s="30" t="s">
        <v>362</v>
      </c>
    </row>
    <row r="26" spans="1:7" ht="12.75">
      <c r="A26" s="177">
        <f>'Installation Checklist'!$A$43</f>
        <v>33</v>
      </c>
      <c r="B26" t="s">
        <v>76</v>
      </c>
      <c r="C26" t="s">
        <v>77</v>
      </c>
      <c r="D26" s="179">
        <f>SUM(D23*D24*A26)</f>
        <v>297000</v>
      </c>
      <c r="E26" s="136">
        <f>SUM(F26/30)</f>
        <v>326700</v>
      </c>
      <c r="F26" s="147">
        <f>SUM(D26*A26)</f>
        <v>9801000</v>
      </c>
      <c r="G26" s="27">
        <f>SUM(F26*12)</f>
        <v>117612000</v>
      </c>
    </row>
    <row r="27" spans="1:7" ht="12.75">
      <c r="A27" s="177">
        <f>A11</f>
        <v>0</v>
      </c>
      <c r="B27" t="str">
        <f>B11</f>
        <v>Each</v>
      </c>
      <c r="C27" t="str">
        <f>C11</f>
        <v>Car Ramps</v>
      </c>
      <c r="D27" s="179">
        <v>12000</v>
      </c>
      <c r="E27" s="136">
        <f>SUM(F27/30)</f>
        <v>0</v>
      </c>
      <c r="F27" s="147">
        <f>SUM(D27*A27)</f>
        <v>0</v>
      </c>
      <c r="G27" s="27">
        <f>SUM(F27*12)</f>
        <v>0</v>
      </c>
    </row>
    <row r="28" spans="1:7" ht="13.5" thickBot="1">
      <c r="A28" s="198">
        <f>'Installation Checklist'!$A$44</f>
        <v>0</v>
      </c>
      <c r="B28" s="39" t="s">
        <v>76</v>
      </c>
      <c r="C28" s="39" t="s">
        <v>356</v>
      </c>
      <c r="D28" s="180">
        <v>20000</v>
      </c>
      <c r="E28" s="200">
        <f>SUM(F28/30)</f>
        <v>0</v>
      </c>
      <c r="F28" s="181">
        <f>SUM(D28*A28)</f>
        <v>0</v>
      </c>
      <c r="G28" s="40">
        <f>SUM(F28*12)</f>
        <v>0</v>
      </c>
    </row>
    <row r="29" spans="1:7" ht="13.5" thickTop="1">
      <c r="A29" s="177"/>
      <c r="D29" s="27">
        <f>SUM(D26:D28)</f>
        <v>329000</v>
      </c>
      <c r="E29" s="136">
        <f>SUM(E26:E28)</f>
        <v>326700</v>
      </c>
      <c r="F29" s="147">
        <f>SUM(F26:F28)</f>
        <v>9801000</v>
      </c>
      <c r="G29" s="27">
        <f>SUM(G26:G28)</f>
        <v>117612000</v>
      </c>
    </row>
    <row r="31" spans="4:7" ht="12.75">
      <c r="D31" s="51" t="s">
        <v>367</v>
      </c>
      <c r="E31" s="27">
        <f>SUM(E29/$A$16)</f>
        <v>376.2779527559055</v>
      </c>
      <c r="F31" s="27">
        <f>SUM(F29/$A$16)</f>
        <v>11288.338582677166</v>
      </c>
      <c r="G31" s="27">
        <f>SUM(G20:G30)</f>
        <v>235224000</v>
      </c>
    </row>
    <row r="32" ht="15.75">
      <c r="A32" s="199" t="s">
        <v>790</v>
      </c>
    </row>
    <row r="33" ht="12.75">
      <c r="A33" s="27">
        <f>SUM(G16+G29)</f>
        <v>812196000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Justin Sutton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Interstate Traveler Project</dc:title>
  <dc:subject>The Money</dc:subject>
  <dc:creator>Microsoft Corporation</dc:creator>
  <cp:keywords/>
  <dc:description/>
  <cp:lastModifiedBy>Justin Sutton</cp:lastModifiedBy>
  <cp:lastPrinted>2011-05-28T19:57:44Z</cp:lastPrinted>
  <dcterms:created xsi:type="dcterms:W3CDTF">1996-10-14T23:33:28Z</dcterms:created>
  <dcterms:modified xsi:type="dcterms:W3CDTF">2011-06-14T01:35:38Z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