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135" windowHeight="7020" tabRatio="782" activeTab="1"/>
  </bookViews>
  <sheets>
    <sheet name="Costs per kilometer" sheetId="1" r:id="rId1"/>
    <sheet name="Return On Investment" sheetId="2" r:id="rId2"/>
    <sheet name="Public Revenue Chain" sheetId="3" r:id="rId3"/>
    <sheet name="Energy Calculator" sheetId="4" r:id="rId4"/>
    <sheet name="Advertising - Rent" sheetId="5" r:id="rId5"/>
    <sheet name="Stats" sheetId="6" r:id="rId6"/>
    <sheet name="ProductionTimeLine" sheetId="7" r:id="rId7"/>
  </sheets>
  <externalReferences>
    <externalReference r:id="rId10"/>
    <externalReference r:id="rId11"/>
    <externalReference r:id="rId12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4">'Advertising - Rent'!$F$18</definedName>
    <definedName name="Advertising_Rev.month.per.mile">#REF!</definedName>
    <definedName name="Advertising_Revenue.per.year.per.mile" localSheetId="4">'Advertising - Rent'!$G$18</definedName>
    <definedName name="Advertising_Revenue.per.year.per.mile">#REF!</definedName>
    <definedName name="Cost_per_Mile_lock__stock__and_barrell" localSheetId="0">'Costs per kilometer'!$E$57</definedName>
    <definedName name="Cost_per_Mile_lock__stock__and_barrell">#REF!</definedName>
    <definedName name="Percentage__to_reflect_expected_Passengers_day" localSheetId="1">'Return On Investment'!#REF!</definedName>
    <definedName name="Percentage__to_reflect_expected_Passengers_day">#REF!</definedName>
    <definedName name="_xlnm.Print_Area" localSheetId="0">'Costs per kilometer'!$A$36:$E$54</definedName>
    <definedName name="Total_Cost_for_InterState_Traveler_Installation">#REF!</definedName>
    <definedName name="Total_cost_Steel_per_ton">#REF!</definedName>
    <definedName name="Total_Revenue__day_mile_for_Passengers_and_Car_Ferry" localSheetId="1">'Return On Investment'!#REF!</definedName>
    <definedName name="Total_Revenue__day_mile_for_Passengers_and_Car_Ferry">#REF!</definedName>
    <definedName name="Trans_Rev.per.day.per.mile" localSheetId="4">'[3]ITC National Network'!#REF!</definedName>
    <definedName name="Trans_Rev.per.day.per.mile" localSheetId="0">'[3]ITC National Network'!#REF!</definedName>
    <definedName name="Trans_Rev.per.day.per.mile" localSheetId="1">'[3]ITC National Network'!#REF!</definedName>
    <definedName name="Trans_Rev.per.day.per.mile">#REF!</definedName>
    <definedName name="Typical_Costs_for_Steel_per_ton">#REF!</definedName>
  </definedNames>
  <calcPr fullCalcOnLoad="1"/>
</workbook>
</file>

<file path=xl/comments4.xml><?xml version="1.0" encoding="utf-8"?>
<comments xmlns="http://schemas.openxmlformats.org/spreadsheetml/2006/main">
  <authors>
    <author>Justin Sutton</author>
  </authors>
  <commentList>
    <comment ref="C16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2 every 5 on average to insure that all Highway Interchanges will have Traveler Stations
</t>
        </r>
      </text>
    </comment>
    <comment ref="C25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3 per mile for public rapid transit vehicles allowing room to add commercial transports and emgency response transports</t>
        </r>
      </text>
    </comment>
  </commentList>
</comments>
</file>

<file path=xl/sharedStrings.xml><?xml version="1.0" encoding="utf-8"?>
<sst xmlns="http://schemas.openxmlformats.org/spreadsheetml/2006/main" count="449" uniqueCount="344">
  <si>
    <t xml:space="preserve">Source: </t>
  </si>
  <si>
    <t xml:space="preserve">http://www.eere.energy.gov/solar/cfm/faqs/third_level.cfm/name=Photovoltaics/cat=The%20Basics </t>
  </si>
  <si>
    <t>Diameter</t>
  </si>
  <si>
    <t>Radius</t>
  </si>
  <si>
    <t>The Roof   (symetrical arch)</t>
  </si>
  <si>
    <t>Circumference</t>
  </si>
  <si>
    <t>Pi</t>
  </si>
  <si>
    <t>Roof Width</t>
  </si>
  <si>
    <t>Length</t>
  </si>
  <si>
    <t>Percent dedicated to PV</t>
  </si>
  <si>
    <t>Total Surface area of PV/ Mile</t>
  </si>
  <si>
    <t>Total Watts/Mile/hour</t>
  </si>
  <si>
    <t>Total Watts/Mile/Day</t>
  </si>
  <si>
    <t>Total Gigawatts/year</t>
  </si>
  <si>
    <t>Total Number of Miles</t>
  </si>
  <si>
    <t>Solar Day (Hours)</t>
  </si>
  <si>
    <t>SqFt / Sq M</t>
  </si>
  <si>
    <t>Watts/Sq M from Sun at sea level</t>
  </si>
  <si>
    <t>Watts/Sq Foot from Sun at Sealevel</t>
  </si>
  <si>
    <t>Percent Efficient</t>
  </si>
  <si>
    <t>Total Wattage Output</t>
  </si>
  <si>
    <t>Total BTU / year</t>
  </si>
  <si>
    <t>Total Quad /year</t>
  </si>
  <si>
    <t>Total Watts/Solar Day / all miles</t>
  </si>
  <si>
    <t>Highway ROW Width</t>
  </si>
  <si>
    <t>Percent of Circumference for roof</t>
  </si>
  <si>
    <t>Grand Totals of Rail + Stations + Transports + Roof PV Grid Combined</t>
  </si>
  <si>
    <t>Gasoline Equivelent Units</t>
  </si>
  <si>
    <t>Gasoline Equivilent Units 10ncmh/1Gal Gas</t>
  </si>
  <si>
    <t>Same as 960 gals/year/car</t>
  </si>
  <si>
    <t>Number of Cars Sustained/year</t>
  </si>
  <si>
    <t xml:space="preserve">Total number or cars </t>
  </si>
  <si>
    <t>Percent of All Cars in America`</t>
  </si>
  <si>
    <t>Percent sustained equivilent</t>
  </si>
  <si>
    <t># Factories</t>
  </si>
  <si>
    <t>Description</t>
  </si>
  <si>
    <t>QTY</t>
  </si>
  <si>
    <t>Area</t>
  </si>
  <si>
    <t>Total Watts</t>
  </si>
  <si>
    <t>Sections / Day</t>
  </si>
  <si>
    <t>Days/week</t>
  </si>
  <si>
    <t>Total Feet / Year</t>
  </si>
  <si>
    <t>Target</t>
  </si>
  <si>
    <t>Years to Build</t>
  </si>
  <si>
    <t>Months to Build</t>
  </si>
  <si>
    <t>Value of a Kilowatt</t>
  </si>
  <si>
    <t>Full Production Estimates</t>
  </si>
  <si>
    <t>Length ft. / Section</t>
  </si>
  <si>
    <t>Total Feet / Week</t>
  </si>
  <si>
    <t>Total Miles / Week</t>
  </si>
  <si>
    <t>Total Watts/year</t>
  </si>
  <si>
    <t>Mile</t>
  </si>
  <si>
    <t>ft</t>
  </si>
  <si>
    <t>Watts/mile/hour</t>
  </si>
  <si>
    <t>Solar Hours/day</t>
  </si>
  <si>
    <t>Total Watts/day/mile</t>
  </si>
  <si>
    <t>watts/day/mile</t>
  </si>
  <si>
    <t>miles</t>
  </si>
  <si>
    <t>Total watts/day/all miles</t>
  </si>
  <si>
    <t>Total watts/year</t>
  </si>
  <si>
    <t>Total Kilowatts/year</t>
  </si>
  <si>
    <t>Total watts/ncmh</t>
  </si>
  <si>
    <t>watts/normal cubic meter of Hydrogen</t>
  </si>
  <si>
    <t>Total ncmh / year</t>
  </si>
  <si>
    <t>Interstate Traveler Energy Calculator</t>
  </si>
  <si>
    <t>Total Terawatts/year</t>
  </si>
  <si>
    <t>Total GigaWatts/year</t>
  </si>
  <si>
    <t>Total BTU/year</t>
  </si>
  <si>
    <t>Total Quadrillion BTU/year</t>
  </si>
  <si>
    <t>Traveler Station Frequency</t>
  </si>
  <si>
    <t>Every 5 Miles</t>
  </si>
  <si>
    <t>Total Traveler Stations</t>
  </si>
  <si>
    <t>Average Roof Size (PV)</t>
  </si>
  <si>
    <t>Total Watts/hr/station</t>
  </si>
  <si>
    <t>Total Watts/hr/all stations</t>
  </si>
  <si>
    <t>Total Watts/day/all stations</t>
  </si>
  <si>
    <t>Total Watts/year/all stations</t>
  </si>
  <si>
    <r>
      <t xml:space="preserve">Width </t>
    </r>
    <r>
      <rPr>
        <sz val="8"/>
        <rFont val="Arial"/>
        <family val="2"/>
      </rPr>
      <t>(two parallel tracks combined)</t>
    </r>
  </si>
  <si>
    <t>Multiple</t>
  </si>
  <si>
    <t>Name</t>
  </si>
  <si>
    <t>Symbol</t>
  </si>
  <si>
    <t>watt</t>
  </si>
  <si>
    <t>W</t>
  </si>
  <si>
    <t>decawatt</t>
  </si>
  <si>
    <t>daW</t>
  </si>
  <si>
    <t>hectowatt</t>
  </si>
  <si>
    <t>hW</t>
  </si>
  <si>
    <t>kilowatt</t>
  </si>
  <si>
    <t>kW</t>
  </si>
  <si>
    <t>megawatt</t>
  </si>
  <si>
    <t>MW</t>
  </si>
  <si>
    <t>gigawatt</t>
  </si>
  <si>
    <t>GW</t>
  </si>
  <si>
    <t>terawatt</t>
  </si>
  <si>
    <t>TW</t>
  </si>
  <si>
    <t>petawatt</t>
  </si>
  <si>
    <t>PW</t>
  </si>
  <si>
    <t>exawatt</t>
  </si>
  <si>
    <t>EW</t>
  </si>
  <si>
    <t>zettawatt</t>
  </si>
  <si>
    <t>ZW</t>
  </si>
  <si>
    <t>yottawatt</t>
  </si>
  <si>
    <t>YW</t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</si>
  <si>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</si>
  <si>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t>Total Cu Meter Hydrogen/year</t>
  </si>
  <si>
    <t>Total Number of Transports/mile</t>
  </si>
  <si>
    <t>Transports/Mile</t>
  </si>
  <si>
    <t>Total SqFt or roof area</t>
  </si>
  <si>
    <t>SqFt of PV on Roof</t>
  </si>
  <si>
    <t>Total SqFt all Transports</t>
  </si>
  <si>
    <t>Total SqFt PV</t>
  </si>
  <si>
    <t>Total Watts/hr/Transport</t>
  </si>
  <si>
    <t>Total Watts/hr/all Transports</t>
  </si>
  <si>
    <t>Total Watts/day/all Transports</t>
  </si>
  <si>
    <t>Total Watts/year/all Transports</t>
  </si>
  <si>
    <t>Total Solar Hours / Day</t>
  </si>
  <si>
    <t>Total Solar Hours/day</t>
  </si>
  <si>
    <t>SqFt Roof-mounted PV Grid</t>
  </si>
  <si>
    <t>Total Electrical Output Value</t>
  </si>
  <si>
    <t>Minimum watts/SqFt</t>
  </si>
  <si>
    <t>Total Transports on System</t>
  </si>
  <si>
    <t>Total Megawatts/year</t>
  </si>
  <si>
    <t>1 watt-hour = 3.4121415 Btu</t>
  </si>
  <si>
    <t>SqFt/mile</t>
  </si>
  <si>
    <t>Watts/SqFt</t>
  </si>
  <si>
    <t>watts/SqFt</t>
  </si>
  <si>
    <t>Enter Values in fields marked in Yellow</t>
  </si>
  <si>
    <t>Traveler Stations Combined Wattage Output of Total Roof Mounted PV Grid</t>
  </si>
  <si>
    <t>Transports Combined Wattage Output of Total Roof-Mounted PV Grid</t>
  </si>
  <si>
    <t>ITC Rail Combined Wattage Output of Two Parallel Tracks Combined</t>
  </si>
  <si>
    <t>(should be 2 every 5)</t>
  </si>
  <si>
    <t>( should be 3 per mile)</t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</si>
  <si>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</si>
  <si>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measurement unit named for Alessandro Volta (1745-1827), a pioneer in the study of electricity. So, photovoltaics could literally be translated as light-electricity. And that's just what photovoltaic materials and devices do; they </t>
    </r>
    <r>
      <rPr>
        <b/>
        <sz val="8"/>
        <color indexed="8"/>
        <rFont val="Verdana"/>
        <family val="2"/>
      </rPr>
      <t>convert light energy to electricity</t>
    </r>
    <r>
      <rPr>
        <sz val="8"/>
        <color indexed="8"/>
        <rFont val="Verdana"/>
        <family val="2"/>
      </rPr>
      <t>, as Edmond Becquerel and others discovered in the 18th Century.</t>
    </r>
  </si>
  <si>
    <t xml:space="preserve">Watts/SqFt  </t>
  </si>
  <si>
    <t>( can range from 12 to 26)</t>
  </si>
  <si>
    <t>Total Miles / Year</t>
  </si>
  <si>
    <t>ITC HSH Production Estimates Time Line</t>
  </si>
  <si>
    <t>Sections / Month</t>
  </si>
  <si>
    <t>Sections / Year</t>
  </si>
  <si>
    <t>ITC Rail Installation Analysis</t>
  </si>
  <si>
    <t>1 mile = 5,280 feet      1 Kilometer = 3278 feet</t>
  </si>
  <si>
    <t>Interstate Traveler Rail Costs/Kilometer</t>
  </si>
  <si>
    <t>Qty</t>
  </si>
  <si>
    <t>Units</t>
  </si>
  <si>
    <t>Cost</t>
  </si>
  <si>
    <t>Amount</t>
  </si>
  <si>
    <t>Notes</t>
  </si>
  <si>
    <t>Kilometer</t>
  </si>
  <si>
    <t>AMSC HTS Super Conductor Wire</t>
  </si>
  <si>
    <t>Concrete 3'x3' x 12' concrete Piers</t>
  </si>
  <si>
    <t>Steel for Rail Tubing  / Stanchion / Central Support</t>
  </si>
  <si>
    <t xml:space="preserve">Supplemental Conduit </t>
  </si>
  <si>
    <t>$1 / per foot</t>
  </si>
  <si>
    <t>Fiber Optics</t>
  </si>
  <si>
    <t>figured at $5 per foot but can be purchase at  $.35 per foot</t>
  </si>
  <si>
    <t>Units/Kilometer</t>
  </si>
  <si>
    <t>Full Function Utility Substation</t>
  </si>
  <si>
    <t>One every FOUR kilometers</t>
  </si>
  <si>
    <t>Labor/Kilometer</t>
  </si>
  <si>
    <t>100 people working simultaneously / 1 week</t>
  </si>
  <si>
    <t>$52k / Annual Salary equivalent  or $1K / week</t>
  </si>
  <si>
    <t>Sitework / demolition / adjustment to overhead lines</t>
  </si>
  <si>
    <t>Kilometer / pair of rails</t>
  </si>
  <si>
    <t>Solid-state Magnets</t>
  </si>
  <si>
    <t>Total cost of the InterState Traveler /Kilometers</t>
  </si>
  <si>
    <t>Section Length (Feet)</t>
  </si>
  <si>
    <t>Cost per foot</t>
  </si>
  <si>
    <t xml:space="preserve">Cost per Section </t>
  </si>
  <si>
    <t xml:space="preserve"> </t>
  </si>
  <si>
    <t>Terminal Stations</t>
  </si>
  <si>
    <t>Each</t>
  </si>
  <si>
    <t>Grand Terminal Stations</t>
  </si>
  <si>
    <t>Cloverleaf Stations "Traveler Station"</t>
  </si>
  <si>
    <t>Car Ramp for Car Ferry w/ Parking Structure</t>
  </si>
  <si>
    <t>Sidetrack to Local Public Station (1Kilometer)</t>
  </si>
  <si>
    <t>Remote Public Station, and parking (Private Land)</t>
  </si>
  <si>
    <t>Interstate Traveler Public Cars</t>
  </si>
  <si>
    <t>Grand Public Car</t>
  </si>
  <si>
    <t>Commuter Public Car</t>
  </si>
  <si>
    <t>Car Ferry</t>
  </si>
  <si>
    <t>ITC Rail Installation Check List</t>
  </si>
  <si>
    <t>Commuter Public Car (60 Passenger)</t>
  </si>
  <si>
    <t>Freight Car</t>
  </si>
  <si>
    <t>Total Commute Cars</t>
  </si>
  <si>
    <t>Total Cost for InterState Traveler Installation</t>
  </si>
  <si>
    <t>Total Car Ferry</t>
  </si>
  <si>
    <t>Total Stations</t>
  </si>
  <si>
    <t>Total Kilometers</t>
  </si>
  <si>
    <t>Total Miles</t>
  </si>
  <si>
    <t>Pairs of Stations/Mile</t>
  </si>
  <si>
    <t>Cars/mile</t>
  </si>
  <si>
    <t>Cost per Kilometer Complete System</t>
  </si>
  <si>
    <t>Cost per Mile Complete System</t>
  </si>
  <si>
    <t>Convert Miles to Kilometers,  Kilometers to Miles</t>
  </si>
  <si>
    <t>Enter Miles</t>
  </si>
  <si>
    <t>Kilometers</t>
  </si>
  <si>
    <t>Enter Kilometers</t>
  </si>
  <si>
    <t>Miles</t>
  </si>
  <si>
    <t>Advertising Revenue Calculations</t>
  </si>
  <si>
    <t>Source</t>
  </si>
  <si>
    <t>Amount/Month</t>
  </si>
  <si>
    <t>Total /day</t>
  </si>
  <si>
    <t>Total/Month</t>
  </si>
  <si>
    <t>Total/Year</t>
  </si>
  <si>
    <t>Banner/Billboard Advertising</t>
  </si>
  <si>
    <t>Traveler Stations</t>
  </si>
  <si>
    <t>Utilty Substations</t>
  </si>
  <si>
    <t>Car Ramps</t>
  </si>
  <si>
    <t>Parking Lots</t>
  </si>
  <si>
    <t>Advertising Grand Public Car</t>
  </si>
  <si>
    <t>Advertising Commuter Public Car</t>
  </si>
  <si>
    <t>Advertising Car Ferry</t>
  </si>
  <si>
    <t>Day</t>
  </si>
  <si>
    <t>Month</t>
  </si>
  <si>
    <t>Year</t>
  </si>
  <si>
    <t xml:space="preserve">Revenue / Mile </t>
  </si>
  <si>
    <t>Rent Revenue Calculations</t>
  </si>
  <si>
    <t>Change values in yellow to see all figures update</t>
  </si>
  <si>
    <t>The Interstate Traveler Project</t>
  </si>
  <si>
    <t>Grow budget by  x  percent:</t>
  </si>
  <si>
    <t>Steps:</t>
  </si>
  <si>
    <t>Number of Commuter Cars:</t>
  </si>
  <si>
    <t>Number of Car Ferries</t>
  </si>
  <si>
    <t>Passengers Per Car</t>
  </si>
  <si>
    <t>People</t>
  </si>
  <si>
    <t>Minutes</t>
  </si>
  <si>
    <t>Consumer Fee For Use on a Trip</t>
  </si>
  <si>
    <t>Total Annual Revenue</t>
  </si>
  <si>
    <t>Years</t>
  </si>
  <si>
    <t>Time to tool up manufacturing in Months</t>
  </si>
  <si>
    <t>Time to make and all parts in Months</t>
  </si>
  <si>
    <t>Total Months Until Operational</t>
  </si>
  <si>
    <t>Total Years Until Operational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</si>
  <si>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</si>
  <si>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</si>
  <si>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</si>
  <si>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Passenger Fee / Minute</t>
  </si>
  <si>
    <t>Michigan Interstate Highway System</t>
  </si>
  <si>
    <t>Solar Panel 72" wide x  1 Kilometer long</t>
  </si>
  <si>
    <t>~$35.00 / Sqfoot</t>
  </si>
  <si>
    <t>$200 / foot * 3278</t>
  </si>
  <si>
    <t>Car Transport Fee / Minute</t>
  </si>
  <si>
    <t>Projected Use as an Average over 24 hours</t>
  </si>
  <si>
    <t>Total 20 Minute Time Blocks / Day</t>
  </si>
  <si>
    <t>Percent of Capacity</t>
  </si>
  <si>
    <r>
      <t xml:space="preserve">Total Projected Use </t>
    </r>
    <r>
      <rPr>
        <b/>
        <sz val="10"/>
        <rFont val="Arial"/>
        <family val="2"/>
      </rPr>
      <t>Daily</t>
    </r>
  </si>
  <si>
    <r>
      <t xml:space="preserve">Total Projected Revenue </t>
    </r>
    <r>
      <rPr>
        <b/>
        <sz val="10"/>
        <rFont val="Arial"/>
        <family val="2"/>
      </rPr>
      <t>Daily</t>
    </r>
  </si>
  <si>
    <r>
      <t xml:space="preserve">Total Projected Use </t>
    </r>
    <r>
      <rPr>
        <b/>
        <sz val="10"/>
        <rFont val="Arial"/>
        <family val="2"/>
      </rPr>
      <t>Annually</t>
    </r>
  </si>
  <si>
    <r>
      <t xml:space="preserve">Total Projected Revenue </t>
    </r>
    <r>
      <rPr>
        <b/>
        <sz val="10"/>
        <rFont val="Arial"/>
        <family val="2"/>
      </rPr>
      <t>Annually</t>
    </r>
  </si>
  <si>
    <t>Average Distance of Trip for Car Transport</t>
  </si>
  <si>
    <t>Unforeseen Delays for Installation in Months</t>
  </si>
  <si>
    <t>Average Time of Trip for Pedestrian</t>
  </si>
  <si>
    <t>Total Simultaneous Capacity  (Passengers Only)</t>
  </si>
  <si>
    <t>Total Daily Capacity  (Average Time * Total Capacity)</t>
  </si>
  <si>
    <t>Rides</t>
  </si>
  <si>
    <t xml:space="preserve">Return On Investment </t>
  </si>
  <si>
    <t>via Fairbox Collections, Rent, Advertising</t>
  </si>
  <si>
    <t>total Miles of track for this estimate</t>
  </si>
  <si>
    <t>Pedestrian</t>
  </si>
  <si>
    <t>Car Trans</t>
  </si>
  <si>
    <t>Pedestian</t>
  </si>
  <si>
    <t>Both</t>
  </si>
  <si>
    <r>
      <t xml:space="preserve">Revenue </t>
    </r>
    <r>
      <rPr>
        <b/>
        <i/>
        <sz val="10"/>
        <rFont val="Arial"/>
        <family val="2"/>
      </rPr>
      <t>All Transports</t>
    </r>
    <r>
      <rPr>
        <sz val="10"/>
        <rFont val="Arial"/>
        <family val="2"/>
      </rPr>
      <t>/ Annually at xx% of Capacity</t>
    </r>
  </si>
  <si>
    <t>Dept Service Fund</t>
  </si>
  <si>
    <t>Return on Investment at 100% of Revenue</t>
  </si>
  <si>
    <t>Return on Investment using Dept Service Fund</t>
  </si>
  <si>
    <t>Total Annual Revenue for All Transports / Advertising / Rent</t>
  </si>
  <si>
    <t>Average Speed Traveled</t>
  </si>
  <si>
    <t>Miles per hour</t>
  </si>
  <si>
    <t>Total Miles Installed</t>
  </si>
  <si>
    <t>Public Revenue for the State of Michigan</t>
  </si>
  <si>
    <t>Miles of Rail</t>
  </si>
  <si>
    <t>Projected Revenue</t>
  </si>
  <si>
    <t>Federal Portion</t>
  </si>
  <si>
    <t>State Portion</t>
  </si>
  <si>
    <t>County Portion</t>
  </si>
  <si>
    <t>Local Gov Portion</t>
  </si>
  <si>
    <t>Enter Numbers for Local Governments</t>
  </si>
  <si>
    <t>Cities</t>
  </si>
  <si>
    <t>Counties</t>
  </si>
  <si>
    <t>Townships</t>
  </si>
  <si>
    <t>Villiages</t>
  </si>
  <si>
    <t>Port Authorities</t>
  </si>
  <si>
    <t>Tribes</t>
  </si>
  <si>
    <t>Number of counties per state</t>
  </si>
  <si>
    <t xml:space="preserve"> Texas</t>
  </si>
  <si>
    <t xml:space="preserve"> Georgia</t>
  </si>
  <si>
    <t xml:space="preserve"> Virginia</t>
  </si>
  <si>
    <t xml:space="preserve"> Kentucky</t>
  </si>
  <si>
    <t xml:space="preserve"> Missouri</t>
  </si>
  <si>
    <t xml:space="preserve"> Kansas</t>
  </si>
  <si>
    <t xml:space="preserve"> Illinois</t>
  </si>
  <si>
    <t xml:space="preserve"> N. Carolina</t>
  </si>
  <si>
    <t xml:space="preserve"> Iowa</t>
  </si>
  <si>
    <t xml:space="preserve"> Tennessee</t>
  </si>
  <si>
    <t xml:space="preserve"> Nebraska</t>
  </si>
  <si>
    <t xml:space="preserve"> Indiana</t>
  </si>
  <si>
    <t xml:space="preserve"> Ohio</t>
  </si>
  <si>
    <t xml:space="preserve"> Minnesota</t>
  </si>
  <si>
    <t xml:space="preserve"> Michigan</t>
  </si>
  <si>
    <t xml:space="preserve"> Mississippi</t>
  </si>
  <si>
    <t xml:space="preserve"> Oklahoma</t>
  </si>
  <si>
    <t xml:space="preserve"> Arkansas</t>
  </si>
  <si>
    <t xml:space="preserve"> Wisconsin</t>
  </si>
  <si>
    <t xml:space="preserve"> Pennsylvania</t>
  </si>
  <si>
    <t xml:space="preserve"> Florida</t>
  </si>
  <si>
    <t xml:space="preserve"> Alabama</t>
  </si>
  <si>
    <t xml:space="preserve"> S. Dakota</t>
  </si>
  <si>
    <t xml:space="preserve"> Louisiana</t>
  </si>
  <si>
    <t xml:space="preserve"> Colorado</t>
  </si>
  <si>
    <t xml:space="preserve"> New York</t>
  </si>
  <si>
    <t xml:space="preserve"> California</t>
  </si>
  <si>
    <t xml:space="preserve"> Montana</t>
  </si>
  <si>
    <t xml:space="preserve"> West Virginia</t>
  </si>
  <si>
    <t xml:space="preserve"> North Dakota</t>
  </si>
  <si>
    <t xml:space="preserve"> South Carolina</t>
  </si>
  <si>
    <t xml:space="preserve"> Idaho</t>
  </si>
  <si>
    <t xml:space="preserve"> Washington</t>
  </si>
  <si>
    <t xml:space="preserve"> Oregon</t>
  </si>
  <si>
    <t xml:space="preserve"> New Mexico</t>
  </si>
  <si>
    <t xml:space="preserve"> Utah</t>
  </si>
  <si>
    <t xml:space="preserve"> Alaska</t>
  </si>
  <si>
    <t xml:space="preserve"> Maryland</t>
  </si>
  <si>
    <t xml:space="preserve"> Wyoming</t>
  </si>
  <si>
    <t xml:space="preserve"> New Jersey</t>
  </si>
  <si>
    <t xml:space="preserve"> Nevada</t>
  </si>
  <si>
    <t xml:space="preserve"> Maine</t>
  </si>
  <si>
    <t xml:space="preserve"> Arizona</t>
  </si>
  <si>
    <t xml:space="preserve"> Vermont</t>
  </si>
  <si>
    <t xml:space="preserve"> Massachusetts</t>
  </si>
  <si>
    <t xml:space="preserve"> New Hampshire</t>
  </si>
  <si>
    <t xml:space="preserve"> Connecticut</t>
  </si>
  <si>
    <t xml:space="preserve"> Hawaii</t>
  </si>
  <si>
    <t xml:space="preserve"> Rhode Island</t>
  </si>
  <si>
    <t xml:space="preserve"> Delaware</t>
  </si>
  <si>
    <t>Michigan Stats</t>
  </si>
  <si>
    <t>http://en.wikipedia.org/wiki/List_of_cities_in_Michigan</t>
  </si>
  <si>
    <t>est</t>
  </si>
  <si>
    <t>Portion Paid Each</t>
  </si>
  <si>
    <t>per annum</t>
  </si>
  <si>
    <t>Michigan Population</t>
  </si>
  <si>
    <t>PerCapita Revenue for State of Michigan</t>
  </si>
  <si>
    <t>Detroit Population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</si>
</sst>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* #,##0.0000000_);_(* \(#,##0.0000000\);_(* &quot;-&quot;???????_);_(@_)"/>
    <numFmt numFmtId="209" formatCode="_(* #,##0.00000_);_(* \(#,##0.00000\);_(* &quot;-&quot;??_);_(@_)"/>
    <numFmt numFmtId="210" formatCode="_(* #,##0.0000_);_(* \(#,##0.0000\);_(* &quot;-&quot;????_);_(@_)"/>
    <numFmt numFmtId="211" formatCode="_(* #,##0.000_);_(* \(#,##0.000\);_(* &quot;-&quot;???_);_(@_)"/>
    <numFmt numFmtId="212" formatCode="00000"/>
    <numFmt numFmtId="213" formatCode="0.0000000"/>
    <numFmt numFmtId="214" formatCode="_(* #,##0.000000_);_(* \(#,##0.000000\);_(* &quot;-&quot;???????_);_(@_)"/>
    <numFmt numFmtId="215" formatCode="_(* #,##0.00000_);_(* \(#,##0.00000\);_(* &quot;-&quot;???????_);_(@_)"/>
    <numFmt numFmtId="216" formatCode="_(* #,##0.0000_);_(* \(#,##0.0000\);_(* &quot;-&quot;???????_);_(@_)"/>
    <numFmt numFmtId="217" formatCode="_(* #,##0.000_);_(* \(#,##0.000\);_(* &quot;-&quot;???????_);_(@_)"/>
    <numFmt numFmtId="218" formatCode="_(* #,##0.00_);_(* \(#,##0.00\);_(* &quot;-&quot;???????_);_(@_)"/>
    <numFmt numFmtId="219" formatCode="_(* #,##0.0_);_(* \(#,##0.0\);_(* &quot;-&quot;???????_);_(@_)"/>
    <numFmt numFmtId="220" formatCode="_(* #,##0_);_(* \(#,##0\);_(* &quot;-&quot;???????_);_(@_)"/>
    <numFmt numFmtId="221" formatCode="_(* #,##0.000000_);_(* \(#,##0.000000\);_(* &quot;-&quot;??_);_(@_)"/>
    <numFmt numFmtId="222" formatCode="_(* #,##0.0000000_);_(* \(#,##0.00000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sz val="22"/>
      <name val="Arial"/>
      <family val="0"/>
    </font>
    <font>
      <vertAlign val="superscript"/>
      <sz val="10"/>
      <name val="Arial"/>
      <family val="0"/>
    </font>
    <font>
      <i/>
      <u val="single"/>
      <sz val="10"/>
      <name val="Arial"/>
      <family val="0"/>
    </font>
    <font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Verdana"/>
      <family val="2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b/>
      <sz val="8"/>
      <color indexed="8"/>
      <name val="Verdana"/>
      <family val="2"/>
    </font>
    <font>
      <b/>
      <sz val="26"/>
      <name val="Arial"/>
      <family val="2"/>
    </font>
    <font>
      <sz val="18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Verdana"/>
      <family val="2"/>
    </font>
    <font>
      <sz val="12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left"/>
      <protection/>
    </xf>
    <xf numFmtId="0" fontId="7" fillId="2" borderId="3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3" fontId="0" fillId="4" borderId="4" xfId="0" applyNumberFormat="1" applyFont="1" applyFill="1" applyBorder="1" applyAlignment="1" applyProtection="1">
      <alignment wrapText="1"/>
      <protection/>
    </xf>
    <xf numFmtId="0" fontId="6" fillId="4" borderId="4" xfId="0" applyFont="1" applyFill="1" applyBorder="1" applyAlignment="1" applyProtection="1">
      <alignment wrapText="1"/>
      <protection/>
    </xf>
    <xf numFmtId="0" fontId="0" fillId="4" borderId="4" xfId="0" applyFill="1" applyBorder="1" applyAlignment="1" applyProtection="1">
      <alignment wrapText="1"/>
      <protection/>
    </xf>
    <xf numFmtId="180" fontId="9" fillId="5" borderId="6" xfId="15" applyNumberFormat="1" applyFont="1" applyFill="1" applyBorder="1" applyAlignment="1" applyProtection="1">
      <alignment/>
      <protection/>
    </xf>
    <xf numFmtId="180" fontId="0" fillId="5" borderId="6" xfId="15" applyNumberFormat="1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3" fontId="0" fillId="4" borderId="8" xfId="0" applyNumberFormat="1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5" applyNumberFormat="1" applyFill="1" applyBorder="1" applyAlignment="1" applyProtection="1">
      <alignment horizontal="left" indent="1"/>
      <protection/>
    </xf>
    <xf numFmtId="0" fontId="0" fillId="0" borderId="10" xfId="0" applyBorder="1" applyAlignment="1" applyProtection="1">
      <alignment/>
      <protection/>
    </xf>
    <xf numFmtId="180" fontId="0" fillId="0" borderId="0" xfId="15" applyNumberFormat="1" applyBorder="1" applyAlignment="1" applyProtection="1">
      <alignment horizontal="left" indent="3"/>
      <protection/>
    </xf>
    <xf numFmtId="180" fontId="0" fillId="0" borderId="0" xfId="15" applyNumberFormat="1" applyBorder="1" applyAlignment="1" applyProtection="1">
      <alignment horizontal="left" indent="1"/>
      <protection/>
    </xf>
    <xf numFmtId="180" fontId="0" fillId="0" borderId="0" xfId="15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" fillId="5" borderId="12" xfId="0" applyFont="1" applyFill="1" applyBorder="1" applyAlignment="1" applyProtection="1">
      <alignment/>
      <protection/>
    </xf>
    <xf numFmtId="180" fontId="0" fillId="0" borderId="0" xfId="15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168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" fontId="0" fillId="3" borderId="13" xfId="15" applyNumberFormat="1" applyFill="1" applyBorder="1" applyAlignment="1" applyProtection="1">
      <alignment horizontal="right" indent="1"/>
      <protection locked="0"/>
    </xf>
    <xf numFmtId="0" fontId="18" fillId="0" borderId="0" xfId="0" applyFont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1" fillId="0" borderId="0" xfId="20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43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220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80" fontId="0" fillId="0" borderId="0" xfId="15" applyNumberFormat="1" applyFont="1" applyAlignment="1" applyProtection="1">
      <alignment/>
      <protection/>
    </xf>
    <xf numFmtId="168" fontId="0" fillId="6" borderId="13" xfId="15" applyNumberFormat="1" applyFill="1" applyBorder="1" applyAlignment="1" applyProtection="1">
      <alignment/>
      <protection/>
    </xf>
    <xf numFmtId="9" fontId="0" fillId="3" borderId="13" xfId="15" applyNumberFormat="1" applyFill="1" applyBorder="1" applyAlignment="1" applyProtection="1">
      <alignment/>
      <protection locked="0"/>
    </xf>
    <xf numFmtId="180" fontId="0" fillId="3" borderId="13" xfId="15" applyNumberFormat="1" applyFill="1" applyBorder="1" applyAlignment="1" applyProtection="1">
      <alignment/>
      <protection locked="0"/>
    </xf>
    <xf numFmtId="180" fontId="0" fillId="0" borderId="0" xfId="15" applyNumberFormat="1" applyFill="1" applyBorder="1" applyAlignment="1" applyProtection="1">
      <alignment horizontal="left" indent="1"/>
      <protection locked="0"/>
    </xf>
    <xf numFmtId="0" fontId="0" fillId="5" borderId="14" xfId="0" applyFill="1" applyBorder="1" applyAlignment="1" applyProtection="1">
      <alignment/>
      <protection/>
    </xf>
    <xf numFmtId="0" fontId="0" fillId="2" borderId="0" xfId="0" applyFill="1" applyAlignment="1">
      <alignment horizontal="center"/>
    </xf>
    <xf numFmtId="43" fontId="0" fillId="0" borderId="0" xfId="15" applyAlignment="1">
      <alignment/>
    </xf>
    <xf numFmtId="2" fontId="0" fillId="0" borderId="0" xfId="0" applyNumberFormat="1" applyAlignment="1">
      <alignment/>
    </xf>
    <xf numFmtId="43" fontId="0" fillId="0" borderId="0" xfId="15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3" fontId="0" fillId="0" borderId="0" xfId="0" applyNumberFormat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0" xfId="20" applyAlignment="1">
      <alignment/>
    </xf>
    <xf numFmtId="9" fontId="0" fillId="0" borderId="0" xfId="21" applyAlignment="1">
      <alignment/>
    </xf>
    <xf numFmtId="0" fontId="0" fillId="0" borderId="16" xfId="0" applyBorder="1" applyAlignment="1">
      <alignment/>
    </xf>
    <xf numFmtId="168" fontId="0" fillId="0" borderId="16" xfId="0" applyNumberFormat="1" applyBorder="1" applyAlignment="1">
      <alignment/>
    </xf>
    <xf numFmtId="168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3" borderId="13" xfId="0" applyNumberFormat="1" applyFont="1" applyFill="1" applyBorder="1" applyAlignment="1" applyProtection="1">
      <alignment horizontal="right"/>
      <protection locked="0"/>
    </xf>
    <xf numFmtId="168" fontId="0" fillId="3" borderId="0" xfId="0" applyNumberFormat="1" applyFill="1" applyAlignment="1" applyProtection="1">
      <alignment/>
      <protection locked="0"/>
    </xf>
    <xf numFmtId="168" fontId="0" fillId="3" borderId="0" xfId="0" applyNumberFormat="1" applyFill="1" applyAlignment="1" applyProtection="1">
      <alignment/>
      <protection/>
    </xf>
    <xf numFmtId="168" fontId="0" fillId="3" borderId="16" xfId="0" applyNumberFormat="1" applyFill="1" applyBorder="1" applyAlignment="1" applyProtection="1">
      <alignment/>
      <protection locked="0"/>
    </xf>
    <xf numFmtId="168" fontId="0" fillId="3" borderId="0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180" fontId="0" fillId="3" borderId="0" xfId="15" applyNumberFormat="1" applyFill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80" fontId="0" fillId="3" borderId="16" xfId="15" applyNumberFormat="1" applyFill="1" applyBorder="1" applyAlignment="1" applyProtection="1">
      <alignment/>
      <protection locked="0"/>
    </xf>
    <xf numFmtId="168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9" fontId="0" fillId="0" borderId="0" xfId="21" applyAlignment="1">
      <alignment horizontal="left"/>
    </xf>
    <xf numFmtId="180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0" fillId="0" borderId="17" xfId="0" applyBorder="1" applyAlignment="1">
      <alignment/>
    </xf>
    <xf numFmtId="201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1" fillId="0" borderId="0" xfId="0" applyFont="1" applyAlignment="1">
      <alignment horizontal="right"/>
    </xf>
    <xf numFmtId="168" fontId="21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2" fontId="0" fillId="6" borderId="13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6" borderId="19" xfId="0" applyNumberFormat="1" applyFill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168" fontId="0" fillId="6" borderId="0" xfId="0" applyNumberFormat="1" applyFill="1" applyAlignment="1" applyProtection="1">
      <alignment/>
      <protection/>
    </xf>
    <xf numFmtId="168" fontId="0" fillId="0" borderId="0" xfId="0" applyNumberFormat="1" applyFill="1" applyAlignment="1">
      <alignment/>
    </xf>
    <xf numFmtId="168" fontId="0" fillId="6" borderId="0" xfId="0" applyNumberForma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68" fontId="0" fillId="6" borderId="16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16" xfId="0" applyNumberFormat="1" applyBorder="1" applyAlignment="1" applyProtection="1">
      <alignment/>
      <protection/>
    </xf>
    <xf numFmtId="0" fontId="23" fillId="3" borderId="1" xfId="0" applyFont="1" applyFill="1" applyBorder="1" applyAlignment="1">
      <alignment/>
    </xf>
    <xf numFmtId="0" fontId="23" fillId="3" borderId="2" xfId="0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3" borderId="20" xfId="2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26" fillId="2" borderId="2" xfId="0" applyFont="1" applyFill="1" applyBorder="1" applyAlignment="1">
      <alignment/>
    </xf>
    <xf numFmtId="0" fontId="26" fillId="2" borderId="18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68" fontId="29" fillId="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3" fontId="2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7" borderId="2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29" fillId="7" borderId="23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80" fontId="0" fillId="0" borderId="0" xfId="15" applyNumberFormat="1" applyAlignment="1">
      <alignment/>
    </xf>
    <xf numFmtId="0" fontId="29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28" fillId="2" borderId="2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2" fillId="0" borderId="0" xfId="0" applyFont="1" applyAlignment="1">
      <alignment horizontal="right"/>
    </xf>
    <xf numFmtId="168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9" fontId="29" fillId="0" borderId="0" xfId="21" applyFont="1" applyAlignment="1">
      <alignment/>
    </xf>
    <xf numFmtId="172" fontId="29" fillId="0" borderId="0" xfId="21" applyNumberFormat="1" applyFont="1" applyAlignment="1">
      <alignment/>
    </xf>
    <xf numFmtId="0" fontId="29" fillId="0" borderId="0" xfId="0" applyFont="1" applyAlignment="1">
      <alignment horizontal="right"/>
    </xf>
    <xf numFmtId="0" fontId="29" fillId="3" borderId="13" xfId="0" applyFont="1" applyFill="1" applyBorder="1" applyAlignment="1" applyProtection="1">
      <alignment/>
      <protection locked="0"/>
    </xf>
    <xf numFmtId="2" fontId="29" fillId="0" borderId="13" xfId="0" applyNumberFormat="1" applyFont="1" applyFill="1" applyBorder="1" applyAlignment="1">
      <alignment/>
    </xf>
    <xf numFmtId="2" fontId="29" fillId="0" borderId="13" xfId="0" applyNumberFormat="1" applyFont="1" applyFill="1" applyBorder="1" applyAlignment="1" applyProtection="1">
      <alignment/>
      <protection/>
    </xf>
    <xf numFmtId="4" fontId="29" fillId="0" borderId="13" xfId="0" applyNumberFormat="1" applyFont="1" applyBorder="1" applyAlignment="1">
      <alignment/>
    </xf>
    <xf numFmtId="4" fontId="29" fillId="0" borderId="0" xfId="0" applyNumberFormat="1" applyFont="1" applyAlignment="1">
      <alignment/>
    </xf>
    <xf numFmtId="180" fontId="29" fillId="0" borderId="23" xfId="15" applyNumberFormat="1" applyFont="1" applyFill="1" applyBorder="1" applyAlignment="1" applyProtection="1">
      <alignment/>
      <protection locked="0"/>
    </xf>
    <xf numFmtId="0" fontId="29" fillId="0" borderId="24" xfId="0" applyFont="1" applyFill="1" applyBorder="1" applyAlignment="1" applyProtection="1">
      <alignment/>
      <protection/>
    </xf>
    <xf numFmtId="168" fontId="29" fillId="0" borderId="0" xfId="0" applyNumberFormat="1" applyFont="1" applyBorder="1" applyAlignment="1">
      <alignment/>
    </xf>
    <xf numFmtId="180" fontId="29" fillId="0" borderId="0" xfId="0" applyNumberFormat="1" applyFont="1" applyFill="1" applyBorder="1" applyAlignment="1">
      <alignment/>
    </xf>
    <xf numFmtId="169" fontId="22" fillId="0" borderId="2" xfId="0" applyNumberFormat="1" applyFont="1" applyBorder="1" applyAlignment="1">
      <alignment/>
    </xf>
    <xf numFmtId="168" fontId="29" fillId="0" borderId="17" xfId="0" applyNumberFormat="1" applyFont="1" applyBorder="1" applyAlignment="1">
      <alignment/>
    </xf>
    <xf numFmtId="0" fontId="27" fillId="0" borderId="0" xfId="0" applyFont="1" applyAlignment="1">
      <alignment horizontal="left"/>
    </xf>
    <xf numFmtId="9" fontId="29" fillId="7" borderId="20" xfId="21" applyFont="1" applyFill="1" applyBorder="1" applyAlignment="1" applyProtection="1">
      <alignment/>
      <protection locked="0"/>
    </xf>
    <xf numFmtId="0" fontId="0" fillId="0" borderId="25" xfId="0" applyFont="1" applyFill="1" applyBorder="1" applyAlignment="1">
      <alignment/>
    </xf>
    <xf numFmtId="180" fontId="29" fillId="0" borderId="26" xfId="0" applyNumberFormat="1" applyFont="1" applyFill="1" applyBorder="1" applyAlignment="1">
      <alignment/>
    </xf>
    <xf numFmtId="168" fontId="29" fillId="0" borderId="10" xfId="0" applyNumberFormat="1" applyFont="1" applyBorder="1" applyAlignment="1">
      <alignment/>
    </xf>
    <xf numFmtId="180" fontId="29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8" fontId="29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2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0" fillId="0" borderId="17" xfId="0" applyBorder="1" applyAlignment="1">
      <alignment horizontal="right"/>
    </xf>
    <xf numFmtId="0" fontId="6" fillId="0" borderId="29" xfId="0" applyFont="1" applyBorder="1" applyAlignment="1">
      <alignment horizontal="right"/>
    </xf>
    <xf numFmtId="0" fontId="19" fillId="0" borderId="0" xfId="0" applyFont="1" applyAlignment="1">
      <alignment horizontal="left" wrapText="1"/>
    </xf>
    <xf numFmtId="3" fontId="29" fillId="0" borderId="0" xfId="0" applyNumberFormat="1" applyFont="1" applyAlignment="1">
      <alignment/>
    </xf>
    <xf numFmtId="173" fontId="29" fillId="0" borderId="0" xfId="0" applyNumberFormat="1" applyFont="1" applyAlignment="1">
      <alignment/>
    </xf>
    <xf numFmtId="0" fontId="29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1">
      <selection activeCell="C38" sqref="C38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4.57421875" style="0" customWidth="1"/>
    <col min="4" max="4" width="15.7109375" style="0" customWidth="1"/>
    <col min="5" max="5" width="26.28125" style="0" customWidth="1"/>
    <col min="6" max="6" width="49.140625" style="0" customWidth="1"/>
    <col min="7" max="9" width="33.7109375" style="0" customWidth="1"/>
  </cols>
  <sheetData>
    <row r="1" spans="1:6" ht="34.5" thickBot="1">
      <c r="A1" s="59" t="s">
        <v>140</v>
      </c>
      <c r="B1" s="60"/>
      <c r="C1" s="60"/>
      <c r="D1" s="61"/>
      <c r="E1" s="61"/>
      <c r="F1" s="61"/>
    </row>
    <row r="2" ht="12.75">
      <c r="F2" t="s">
        <v>141</v>
      </c>
    </row>
    <row r="3" spans="1:5" ht="33.75">
      <c r="A3" s="62" t="s">
        <v>142</v>
      </c>
      <c r="B3" s="62"/>
      <c r="C3" s="62"/>
      <c r="D3" s="62"/>
      <c r="E3" s="62"/>
    </row>
    <row r="4" spans="1:6" ht="12.75">
      <c r="A4" s="52" t="s">
        <v>143</v>
      </c>
      <c r="B4" s="52" t="s">
        <v>144</v>
      </c>
      <c r="C4" s="52" t="s">
        <v>35</v>
      </c>
      <c r="D4" s="52" t="s">
        <v>145</v>
      </c>
      <c r="E4" s="52" t="s">
        <v>146</v>
      </c>
      <c r="F4" s="52" t="s">
        <v>147</v>
      </c>
    </row>
    <row r="5" spans="1:5" ht="12.75">
      <c r="A5">
        <v>2</v>
      </c>
      <c r="B5" t="s">
        <v>148</v>
      </c>
      <c r="C5" t="s">
        <v>149</v>
      </c>
      <c r="D5" s="63">
        <v>120000</v>
      </c>
      <c r="E5" s="63">
        <f aca="true" t="shared" si="0" ref="E5:E14">SUM(D5*A5)</f>
        <v>240000</v>
      </c>
    </row>
    <row r="6" spans="1:6" ht="12.75">
      <c r="A6">
        <v>2</v>
      </c>
      <c r="B6" t="s">
        <v>148</v>
      </c>
      <c r="C6" t="s">
        <v>239</v>
      </c>
      <c r="D6" s="63">
        <v>871948</v>
      </c>
      <c r="E6" s="63">
        <f t="shared" si="0"/>
        <v>1743896</v>
      </c>
      <c r="F6" t="s">
        <v>240</v>
      </c>
    </row>
    <row r="7" spans="1:5" ht="12.75">
      <c r="A7">
        <v>2</v>
      </c>
      <c r="B7" t="s">
        <v>148</v>
      </c>
      <c r="C7" t="s">
        <v>150</v>
      </c>
      <c r="D7" s="63">
        <v>17482.666666666668</v>
      </c>
      <c r="E7" s="63">
        <f t="shared" si="0"/>
        <v>34965.333333333336</v>
      </c>
    </row>
    <row r="8" spans="1:6" ht="12.75">
      <c r="A8">
        <v>1</v>
      </c>
      <c r="B8" t="s">
        <v>148</v>
      </c>
      <c r="C8" t="s">
        <v>151</v>
      </c>
      <c r="D8" s="63">
        <v>1500000</v>
      </c>
      <c r="E8" s="63">
        <f t="shared" si="0"/>
        <v>1500000</v>
      </c>
      <c r="F8" s="65" t="str">
        <f>SUM((E8/E15)*100)&amp;" %"&amp;" of total cost / kilometer"</f>
        <v>22.1419034242995 % of total cost / kilometer</v>
      </c>
    </row>
    <row r="9" spans="1:6" ht="12.75">
      <c r="A9">
        <v>8</v>
      </c>
      <c r="B9" t="s">
        <v>148</v>
      </c>
      <c r="C9" t="s">
        <v>152</v>
      </c>
      <c r="D9" s="63">
        <v>3278</v>
      </c>
      <c r="E9" s="63">
        <f t="shared" si="0"/>
        <v>26224</v>
      </c>
      <c r="F9" t="s">
        <v>153</v>
      </c>
    </row>
    <row r="10" spans="1:6" ht="12.75">
      <c r="A10">
        <v>2</v>
      </c>
      <c r="B10" t="s">
        <v>148</v>
      </c>
      <c r="C10" t="s">
        <v>154</v>
      </c>
      <c r="D10" s="63">
        <v>16000</v>
      </c>
      <c r="E10" s="63">
        <f t="shared" si="0"/>
        <v>32000</v>
      </c>
      <c r="F10" t="s">
        <v>155</v>
      </c>
    </row>
    <row r="11" spans="1:6" ht="12.75">
      <c r="A11">
        <v>0.25</v>
      </c>
      <c r="B11" t="s">
        <v>156</v>
      </c>
      <c r="C11" t="s">
        <v>157</v>
      </c>
      <c r="D11" s="63">
        <v>1500000</v>
      </c>
      <c r="E11" s="63">
        <f t="shared" si="0"/>
        <v>375000</v>
      </c>
      <c r="F11" t="s">
        <v>158</v>
      </c>
    </row>
    <row r="12" spans="1:6" ht="12.75">
      <c r="A12">
        <v>1</v>
      </c>
      <c r="B12" t="s">
        <v>159</v>
      </c>
      <c r="C12" t="s">
        <v>160</v>
      </c>
      <c r="D12" s="63">
        <v>100000</v>
      </c>
      <c r="E12" s="63">
        <f t="shared" si="0"/>
        <v>100000</v>
      </c>
      <c r="F12" t="s">
        <v>161</v>
      </c>
    </row>
    <row r="13" spans="1:5" ht="12.75">
      <c r="A13">
        <v>1</v>
      </c>
      <c r="B13" t="s">
        <v>148</v>
      </c>
      <c r="C13" t="s">
        <v>162</v>
      </c>
      <c r="D13" s="63">
        <v>100000</v>
      </c>
      <c r="E13" s="63">
        <f t="shared" si="0"/>
        <v>100000</v>
      </c>
    </row>
    <row r="14" spans="1:6" ht="13.5" thickBot="1">
      <c r="A14" s="66">
        <v>4</v>
      </c>
      <c r="B14" s="66" t="s">
        <v>163</v>
      </c>
      <c r="C14" s="66" t="s">
        <v>164</v>
      </c>
      <c r="D14" s="67">
        <f>SUM(200*3278)</f>
        <v>655600</v>
      </c>
      <c r="E14" s="67">
        <f t="shared" si="0"/>
        <v>2622400</v>
      </c>
      <c r="F14" s="66" t="s">
        <v>241</v>
      </c>
    </row>
    <row r="15" spans="4:5" ht="13.5" thickTop="1">
      <c r="D15" s="68" t="s">
        <v>165</v>
      </c>
      <c r="E15" s="63">
        <f>SUM(E5:E14)</f>
        <v>6774485.333333333</v>
      </c>
    </row>
    <row r="16" spans="4:5" ht="12.75">
      <c r="D16" s="69" t="s">
        <v>166</v>
      </c>
      <c r="E16" s="70">
        <v>66</v>
      </c>
    </row>
    <row r="17" spans="4:5" ht="12.75">
      <c r="D17" s="69" t="s">
        <v>167</v>
      </c>
      <c r="E17" s="63">
        <f>SUM(E15/3278)</f>
        <v>2066.652023591621</v>
      </c>
    </row>
    <row r="18" spans="4:6" ht="13.5" customHeight="1">
      <c r="D18" s="69" t="s">
        <v>168</v>
      </c>
      <c r="E18" s="63">
        <f>SUM(E15/3278)*E16</f>
        <v>136399.033557047</v>
      </c>
      <c r="F18" t="s">
        <v>169</v>
      </c>
    </row>
    <row r="19" spans="1:3" ht="33.75">
      <c r="A19" s="62" t="s">
        <v>170</v>
      </c>
      <c r="B19" s="62"/>
      <c r="C19" s="62"/>
    </row>
    <row r="20" spans="1:6" ht="12.75">
      <c r="A20" s="52" t="s">
        <v>143</v>
      </c>
      <c r="B20" s="52" t="s">
        <v>144</v>
      </c>
      <c r="C20" s="52" t="s">
        <v>35</v>
      </c>
      <c r="D20" s="52" t="s">
        <v>145</v>
      </c>
      <c r="E20" s="52" t="s">
        <v>146</v>
      </c>
      <c r="F20" s="52" t="s">
        <v>147</v>
      </c>
    </row>
    <row r="21" spans="1:5" ht="12.75">
      <c r="A21">
        <v>0</v>
      </c>
      <c r="B21" t="s">
        <v>171</v>
      </c>
      <c r="C21" t="s">
        <v>172</v>
      </c>
      <c r="D21" s="71">
        <v>8000000</v>
      </c>
      <c r="E21" s="63">
        <f>SUM(D21*A21)</f>
        <v>0</v>
      </c>
    </row>
    <row r="22" spans="1:5" ht="12.75">
      <c r="A22">
        <v>0</v>
      </c>
      <c r="B22" t="s">
        <v>171</v>
      </c>
      <c r="C22" t="s">
        <v>173</v>
      </c>
      <c r="D22" s="71">
        <v>3000000</v>
      </c>
      <c r="E22" s="63">
        <f>SUM(D22*A22)</f>
        <v>0</v>
      </c>
    </row>
    <row r="23" spans="1:5" ht="12.75">
      <c r="A23">
        <v>0</v>
      </c>
      <c r="B23" t="s">
        <v>171</v>
      </c>
      <c r="C23" t="s">
        <v>174</v>
      </c>
      <c r="D23" s="71">
        <v>2000000</v>
      </c>
      <c r="E23" s="63">
        <f>SUM(D23*A23)</f>
        <v>0</v>
      </c>
    </row>
    <row r="24" spans="1:5" ht="12.75">
      <c r="A24">
        <v>0</v>
      </c>
      <c r="B24" t="s">
        <v>148</v>
      </c>
      <c r="C24" t="s">
        <v>175</v>
      </c>
      <c r="D24" s="72">
        <f>$E$15</f>
        <v>6774485.333333333</v>
      </c>
      <c r="E24" s="63">
        <f>SUM(D24*A24)</f>
        <v>0</v>
      </c>
    </row>
    <row r="25" spans="1:6" ht="13.5" thickBot="1">
      <c r="A25" s="66">
        <v>0</v>
      </c>
      <c r="B25" s="66" t="s">
        <v>171</v>
      </c>
      <c r="C25" s="66" t="s">
        <v>176</v>
      </c>
      <c r="D25" s="73">
        <v>1000000</v>
      </c>
      <c r="E25" s="67">
        <f>SUM(D25*A25)</f>
        <v>0</v>
      </c>
      <c r="F25" s="66"/>
    </row>
    <row r="26" ht="13.5" thickTop="1">
      <c r="E26" s="63">
        <f>SUM(E21:E25)</f>
        <v>0</v>
      </c>
    </row>
    <row r="27" ht="12.75">
      <c r="E27" s="63"/>
    </row>
    <row r="28" spans="1:5" ht="33">
      <c r="A28" s="1" t="s">
        <v>177</v>
      </c>
      <c r="B28" s="1"/>
      <c r="C28" s="1"/>
      <c r="D28" s="1"/>
      <c r="E28" s="63"/>
    </row>
    <row r="29" spans="1:6" ht="12.75">
      <c r="A29" s="52" t="s">
        <v>143</v>
      </c>
      <c r="B29" s="52" t="s">
        <v>144</v>
      </c>
      <c r="C29" s="52" t="s">
        <v>35</v>
      </c>
      <c r="D29" s="52" t="s">
        <v>145</v>
      </c>
      <c r="E29" s="52" t="s">
        <v>146</v>
      </c>
      <c r="F29" s="52" t="s">
        <v>147</v>
      </c>
    </row>
    <row r="30" spans="1:5" ht="12.75">
      <c r="A30">
        <v>0</v>
      </c>
      <c r="B30" t="s">
        <v>171</v>
      </c>
      <c r="C30" t="s">
        <v>178</v>
      </c>
      <c r="D30" s="74">
        <v>1000000</v>
      </c>
      <c r="E30" s="63">
        <f>SUM(D30*A30)</f>
        <v>0</v>
      </c>
    </row>
    <row r="31" spans="1:5" ht="12.75">
      <c r="A31">
        <v>0</v>
      </c>
      <c r="B31" t="s">
        <v>171</v>
      </c>
      <c r="C31" t="s">
        <v>179</v>
      </c>
      <c r="D31" s="74">
        <v>500000</v>
      </c>
      <c r="E31" s="63">
        <f>SUM(D31*A31)</f>
        <v>0</v>
      </c>
    </row>
    <row r="32" spans="1:5" ht="12.75">
      <c r="A32">
        <v>0</v>
      </c>
      <c r="B32" t="s">
        <v>171</v>
      </c>
      <c r="C32" t="s">
        <v>180</v>
      </c>
      <c r="D32" s="74">
        <v>300000</v>
      </c>
      <c r="E32" s="63">
        <f>SUM(D32*A32)</f>
        <v>0</v>
      </c>
    </row>
    <row r="33" ht="12.75">
      <c r="E33" s="63"/>
    </row>
    <row r="34" ht="12.75">
      <c r="E34" s="63"/>
    </row>
    <row r="35" ht="12.75">
      <c r="E35" s="63"/>
    </row>
    <row r="36" spans="1:6" ht="33.75">
      <c r="A36" s="75" t="s">
        <v>181</v>
      </c>
      <c r="B36" s="62"/>
      <c r="C36" s="62"/>
      <c r="D36" s="62"/>
      <c r="E36" s="62"/>
      <c r="F36" s="62"/>
    </row>
    <row r="37" spans="1:6" ht="12.75">
      <c r="A37" s="52" t="s">
        <v>143</v>
      </c>
      <c r="B37" s="52" t="s">
        <v>144</v>
      </c>
      <c r="C37" s="52" t="s">
        <v>35</v>
      </c>
      <c r="D37" s="52" t="s">
        <v>145</v>
      </c>
      <c r="E37" s="52" t="s">
        <v>146</v>
      </c>
      <c r="F37" s="52" t="s">
        <v>147</v>
      </c>
    </row>
    <row r="38" spans="1:5" ht="12.75">
      <c r="A38" s="76">
        <v>2345</v>
      </c>
      <c r="B38" t="s">
        <v>148</v>
      </c>
      <c r="C38" s="3" t="s">
        <v>238</v>
      </c>
      <c r="D38" s="77">
        <f>$E$15</f>
        <v>6774485.333333333</v>
      </c>
      <c r="E38" s="63">
        <f>SUM(D38*A38)</f>
        <v>15886168106.666666</v>
      </c>
    </row>
    <row r="39" spans="1:5" ht="12.75">
      <c r="A39" s="76">
        <v>8</v>
      </c>
      <c r="B39" t="s">
        <v>171</v>
      </c>
      <c r="C39" t="s">
        <v>172</v>
      </c>
      <c r="D39" s="63">
        <f>$D$21</f>
        <v>8000000</v>
      </c>
      <c r="E39" s="63">
        <f aca="true" t="shared" si="1" ref="E39:E45">SUM(D39*A39)</f>
        <v>64000000</v>
      </c>
    </row>
    <row r="40" spans="1:5" ht="12.75">
      <c r="A40" s="76">
        <v>2000</v>
      </c>
      <c r="B40" t="str">
        <f>B22</f>
        <v>Each</v>
      </c>
      <c r="C40" t="str">
        <f>C22</f>
        <v>Cloverleaf Stations "Traveler Station"</v>
      </c>
      <c r="D40" s="63">
        <f>D22</f>
        <v>3000000</v>
      </c>
      <c r="E40" s="63">
        <f t="shared" si="1"/>
        <v>6000000000</v>
      </c>
    </row>
    <row r="41" spans="1:5" ht="12.75">
      <c r="A41" s="76">
        <v>0</v>
      </c>
      <c r="B41" t="str">
        <f>B24</f>
        <v>Kilometer</v>
      </c>
      <c r="C41" t="str">
        <f>C24</f>
        <v>Sidetrack to Local Public Station (1Kilometer)</v>
      </c>
      <c r="D41" s="63">
        <f>D24</f>
        <v>6774485.333333333</v>
      </c>
      <c r="E41" s="63">
        <f t="shared" si="1"/>
        <v>0</v>
      </c>
    </row>
    <row r="42" spans="1:5" ht="12.75">
      <c r="A42" s="76">
        <v>2000</v>
      </c>
      <c r="B42" t="s">
        <v>171</v>
      </c>
      <c r="C42" t="str">
        <f>C23</f>
        <v>Car Ramp for Car Ferry w/ Parking Structure</v>
      </c>
      <c r="D42" s="63">
        <f>D23</f>
        <v>2000000</v>
      </c>
      <c r="E42" s="63">
        <f t="shared" si="1"/>
        <v>4000000000</v>
      </c>
    </row>
    <row r="43" spans="1:5" ht="12.75">
      <c r="A43" s="76">
        <v>0</v>
      </c>
      <c r="B43" t="s">
        <v>171</v>
      </c>
      <c r="C43" t="str">
        <f>C25</f>
        <v>Remote Public Station, and parking (Private Land)</v>
      </c>
      <c r="D43" s="63">
        <f>SUM(D25)</f>
        <v>1000000</v>
      </c>
      <c r="E43" s="63">
        <f t="shared" si="1"/>
        <v>0</v>
      </c>
    </row>
    <row r="44" spans="1:5" ht="12.75">
      <c r="A44" s="76">
        <v>1</v>
      </c>
      <c r="B44" t="s">
        <v>171</v>
      </c>
      <c r="C44" t="s">
        <v>178</v>
      </c>
      <c r="D44" s="63">
        <f>$D$30</f>
        <v>1000000</v>
      </c>
      <c r="E44" s="63">
        <f t="shared" si="1"/>
        <v>1000000</v>
      </c>
    </row>
    <row r="45" spans="1:5" ht="12.75">
      <c r="A45" s="76">
        <v>3000</v>
      </c>
      <c r="B45" t="s">
        <v>171</v>
      </c>
      <c r="C45" t="s">
        <v>182</v>
      </c>
      <c r="D45" s="63">
        <f>$D$31</f>
        <v>500000</v>
      </c>
      <c r="E45" s="63">
        <f t="shared" si="1"/>
        <v>1500000000</v>
      </c>
    </row>
    <row r="46" spans="1:5" ht="12.75">
      <c r="A46" s="76">
        <v>0</v>
      </c>
      <c r="B46" t="s">
        <v>171</v>
      </c>
      <c r="C46" t="s">
        <v>183</v>
      </c>
      <c r="D46" s="63">
        <v>300000</v>
      </c>
      <c r="E46" s="63"/>
    </row>
    <row r="47" spans="1:5" ht="13.5" thickBot="1">
      <c r="A47" s="78">
        <v>1000</v>
      </c>
      <c r="B47" s="66" t="s">
        <v>171</v>
      </c>
      <c r="C47" s="66" t="s">
        <v>180</v>
      </c>
      <c r="D47" s="67">
        <f>$D$32</f>
        <v>300000</v>
      </c>
      <c r="E47" s="67">
        <f>SUM(D47*A47)</f>
        <v>300000000</v>
      </c>
    </row>
    <row r="48" spans="1:5" ht="13.5" thickTop="1">
      <c r="A48">
        <f>SUM(A44+A45)</f>
        <v>3001</v>
      </c>
      <c r="B48" t="s">
        <v>184</v>
      </c>
      <c r="C48" s="169" t="s">
        <v>185</v>
      </c>
      <c r="D48" s="169"/>
      <c r="E48" s="79">
        <f>SUM(E38:E47)</f>
        <v>27751168106.666664</v>
      </c>
    </row>
    <row r="49" spans="1:6" ht="12.75">
      <c r="A49">
        <f>$A$47</f>
        <v>1000</v>
      </c>
      <c r="B49" t="s">
        <v>186</v>
      </c>
      <c r="C49" s="80"/>
      <c r="D49" s="81"/>
      <c r="E49" s="82"/>
      <c r="F49" s="83"/>
    </row>
    <row r="50" spans="1:6" ht="12.75">
      <c r="A50" s="84">
        <f>SUM(A39+A40+A42)</f>
        <v>4008</v>
      </c>
      <c r="B50" t="s">
        <v>187</v>
      </c>
      <c r="C50" s="80"/>
      <c r="D50" s="80"/>
      <c r="E50" s="79"/>
      <c r="F50" s="83"/>
    </row>
    <row r="51" spans="1:5" ht="12.75">
      <c r="A51" s="85">
        <f>SUM(A38+$A$41)</f>
        <v>2345</v>
      </c>
      <c r="B51" t="s">
        <v>188</v>
      </c>
      <c r="C51" s="80"/>
      <c r="D51" s="80"/>
      <c r="E51" s="79"/>
    </row>
    <row r="52" spans="1:2" ht="12.75">
      <c r="A52" s="85">
        <f>SUM(A51*0.621)</f>
        <v>1456.245</v>
      </c>
      <c r="B52" s="86" t="s">
        <v>189</v>
      </c>
    </row>
    <row r="53" spans="1:2" ht="12.75">
      <c r="A53" s="87">
        <f>SUM(A50/2)/A52</f>
        <v>1.3761420640070867</v>
      </c>
      <c r="B53" s="86" t="s">
        <v>190</v>
      </c>
    </row>
    <row r="54" spans="1:5" ht="12.75">
      <c r="A54" s="88">
        <f>SUM(A48+A49+A46)/A52</f>
        <v>2.747477244557063</v>
      </c>
      <c r="B54" s="89" t="s">
        <v>191</v>
      </c>
      <c r="C54" s="89"/>
      <c r="D54" s="89"/>
      <c r="E54" s="90"/>
    </row>
    <row r="56" spans="4:5" ht="23.25">
      <c r="D56" s="91" t="s">
        <v>192</v>
      </c>
      <c r="E56" s="92">
        <f>SUM(E48/(A38++A41))</f>
        <v>11834186.825870646</v>
      </c>
    </row>
    <row r="57" spans="4:5" ht="23.25">
      <c r="D57" s="91" t="s">
        <v>193</v>
      </c>
      <c r="E57" s="92">
        <f>SUM(E48/A52)</f>
        <v>19056661.555347256</v>
      </c>
    </row>
    <row r="58" spans="2:4" ht="12.75">
      <c r="B58" s="69"/>
      <c r="C58" s="93" t="s">
        <v>194</v>
      </c>
      <c r="D58" s="69"/>
    </row>
    <row r="59" spans="2:5" ht="12.75">
      <c r="B59" s="94" t="s">
        <v>35</v>
      </c>
      <c r="C59" s="52" t="s">
        <v>36</v>
      </c>
      <c r="D59" s="52" t="s">
        <v>146</v>
      </c>
      <c r="E59" s="52" t="s">
        <v>144</v>
      </c>
    </row>
    <row r="60" spans="2:5" ht="12.75">
      <c r="B60" s="69" t="s">
        <v>195</v>
      </c>
      <c r="C60" s="95">
        <v>5</v>
      </c>
      <c r="D60" s="69">
        <f>SUM(C60*1.609)</f>
        <v>8.045</v>
      </c>
      <c r="E60" s="96" t="s">
        <v>196</v>
      </c>
    </row>
    <row r="61" spans="2:6" ht="12.75">
      <c r="B61" s="69" t="s">
        <v>197</v>
      </c>
      <c r="C61" s="97">
        <v>4</v>
      </c>
      <c r="D61" s="69">
        <f>SUM(C61*0.621)</f>
        <v>2.484</v>
      </c>
      <c r="E61" s="96" t="s">
        <v>198</v>
      </c>
      <c r="F61" s="64"/>
    </row>
  </sheetData>
  <sheetProtection/>
  <mergeCells count="1">
    <mergeCell ref="C48:D48"/>
  </mergeCells>
  <hyperlinks>
    <hyperlink ref="C6" location="SolarCells!A1" display="Solar Panel 72&quot; wide x  1 Kilometer long."/>
    <hyperlink ref="C7" location="'Steel and Concrete'!A1" display="Concrete 3'x3' x 12' concrete Piers"/>
    <hyperlink ref="C8" location="'Steel and Concrete'!A1" display="Steel for Rail Tubing  / Stanchion / Central Support"/>
  </hyperlinks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36">
      <selection activeCell="D53" sqref="D53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256</v>
      </c>
    </row>
    <row r="2" spans="1:5" ht="24.75" customHeight="1">
      <c r="A2" s="131" t="s">
        <v>257</v>
      </c>
      <c r="B2" s="1"/>
      <c r="C2" s="109" t="s">
        <v>218</v>
      </c>
      <c r="D2" s="110"/>
      <c r="E2" s="111"/>
    </row>
    <row r="4" ht="24" thickBot="1">
      <c r="A4" s="112" t="s">
        <v>219</v>
      </c>
    </row>
    <row r="5" spans="2:5" ht="12.75">
      <c r="B5" s="113" t="s">
        <v>220</v>
      </c>
      <c r="C5" s="114">
        <v>0</v>
      </c>
      <c r="E5" s="115"/>
    </row>
    <row r="6" spans="1:5" ht="20.25">
      <c r="A6" s="116" t="s">
        <v>234</v>
      </c>
      <c r="B6" s="116"/>
      <c r="C6" s="116"/>
      <c r="D6" s="116"/>
      <c r="E6" s="117"/>
    </row>
    <row r="7" spans="1:4" ht="18.75" thickBot="1">
      <c r="A7" s="118" t="s">
        <v>221</v>
      </c>
      <c r="C7" s="164">
        <f>'Costs per kilometer'!$A$52</f>
        <v>1456.245</v>
      </c>
      <c r="D7" s="154" t="s">
        <v>258</v>
      </c>
    </row>
    <row r="8" spans="1:3" ht="15.75" thickBot="1">
      <c r="A8" s="119">
        <v>1</v>
      </c>
      <c r="B8" t="s">
        <v>237</v>
      </c>
      <c r="C8" s="120">
        <v>0.05</v>
      </c>
    </row>
    <row r="9" spans="1:3" ht="15">
      <c r="A9" s="119">
        <v>2</v>
      </c>
      <c r="B9" t="s">
        <v>242</v>
      </c>
      <c r="C9" s="120">
        <v>0.32</v>
      </c>
    </row>
    <row r="10" spans="1:4" ht="16.5" customHeight="1">
      <c r="A10" s="119">
        <v>3</v>
      </c>
      <c r="B10" s="121" t="s">
        <v>222</v>
      </c>
      <c r="C10" s="122">
        <f>'Costs per kilometer'!$A$48</f>
        <v>3001</v>
      </c>
      <c r="D10" s="64"/>
    </row>
    <row r="11" spans="1:4" ht="16.5" customHeight="1">
      <c r="A11" s="119">
        <v>4</v>
      </c>
      <c r="B11" s="121" t="s">
        <v>223</v>
      </c>
      <c r="C11" s="122">
        <f>'Costs per kilometer'!$A$49</f>
        <v>1000</v>
      </c>
      <c r="D11" s="64"/>
    </row>
    <row r="12" spans="1:5" ht="16.5" customHeight="1" thickBot="1">
      <c r="A12" s="119">
        <v>9</v>
      </c>
      <c r="B12" s="124" t="s">
        <v>224</v>
      </c>
      <c r="C12" s="149">
        <v>80</v>
      </c>
      <c r="D12" s="124" t="s">
        <v>225</v>
      </c>
      <c r="E12" s="125"/>
    </row>
    <row r="13" spans="1:5" ht="16.5" customHeight="1" thickBot="1">
      <c r="A13" s="119">
        <v>11</v>
      </c>
      <c r="B13" s="124" t="s">
        <v>252</v>
      </c>
      <c r="C13" s="126">
        <v>25</v>
      </c>
      <c r="D13" s="124" t="s">
        <v>226</v>
      </c>
      <c r="E13" s="123"/>
    </row>
    <row r="14" spans="1:5" ht="16.5" customHeight="1" thickBot="1">
      <c r="A14" s="119">
        <v>12</v>
      </c>
      <c r="B14" s="127" t="s">
        <v>250</v>
      </c>
      <c r="C14" s="128">
        <v>20</v>
      </c>
      <c r="D14" s="127" t="s">
        <v>226</v>
      </c>
      <c r="E14" s="123"/>
    </row>
    <row r="15" spans="1:5" ht="16.5" customHeight="1" thickBot="1">
      <c r="A15" s="119"/>
      <c r="B15" s="127" t="s">
        <v>253</v>
      </c>
      <c r="C15" s="148">
        <f>SUM(C10*C12)</f>
        <v>240080</v>
      </c>
      <c r="D15" s="127"/>
      <c r="E15" s="123"/>
    </row>
    <row r="16" spans="1:5" ht="16.5" customHeight="1" thickBot="1">
      <c r="A16" s="119"/>
      <c r="B16" s="127" t="s">
        <v>244</v>
      </c>
      <c r="C16" s="148">
        <f>SUM(24*3)</f>
        <v>72</v>
      </c>
      <c r="D16" s="127"/>
      <c r="E16" s="123"/>
    </row>
    <row r="17" spans="1:5" ht="16.5" customHeight="1" thickBot="1">
      <c r="A17" s="119"/>
      <c r="B17" s="127" t="s">
        <v>254</v>
      </c>
      <c r="C17" s="148">
        <f>SUM(C15*C16)</f>
        <v>17285760</v>
      </c>
      <c r="D17" s="127"/>
      <c r="E17" s="123"/>
    </row>
    <row r="18" spans="1:5" ht="16.5" customHeight="1" thickBot="1">
      <c r="A18" s="162" t="s">
        <v>261</v>
      </c>
      <c r="B18" s="127" t="s">
        <v>243</v>
      </c>
      <c r="C18" s="155">
        <v>1</v>
      </c>
      <c r="D18" s="127" t="s">
        <v>245</v>
      </c>
      <c r="E18" s="123"/>
    </row>
    <row r="19" spans="1:5" ht="16.5" customHeight="1">
      <c r="A19" s="162" t="s">
        <v>260</v>
      </c>
      <c r="B19" s="127" t="s">
        <v>243</v>
      </c>
      <c r="C19" s="155">
        <v>1</v>
      </c>
      <c r="D19" s="127" t="s">
        <v>245</v>
      </c>
      <c r="E19" s="123"/>
    </row>
    <row r="20" spans="1:5" ht="16.5" customHeight="1">
      <c r="A20" s="163" t="s">
        <v>259</v>
      </c>
      <c r="B20" s="156" t="s">
        <v>246</v>
      </c>
      <c r="C20" s="157">
        <f>SUM(C17*C18)</f>
        <v>17285760</v>
      </c>
      <c r="D20" s="127" t="s">
        <v>255</v>
      </c>
      <c r="E20" s="123"/>
    </row>
    <row r="21" spans="1:5" ht="16.5" customHeight="1">
      <c r="A21" s="163" t="s">
        <v>259</v>
      </c>
      <c r="B21" s="127" t="s">
        <v>247</v>
      </c>
      <c r="C21" s="158">
        <f>SUM(C20*(C8*C13))</f>
        <v>21607200</v>
      </c>
      <c r="D21" s="127"/>
      <c r="E21" s="123"/>
    </row>
    <row r="22" spans="1:5" ht="16.5" customHeight="1">
      <c r="A22" s="163" t="s">
        <v>259</v>
      </c>
      <c r="B22" s="127" t="s">
        <v>248</v>
      </c>
      <c r="C22" s="159">
        <f>SUM(C20*365)</f>
        <v>6309302400</v>
      </c>
      <c r="D22" s="127" t="s">
        <v>255</v>
      </c>
      <c r="E22" s="123"/>
    </row>
    <row r="23" spans="1:5" ht="16.5" customHeight="1">
      <c r="A23" s="163" t="s">
        <v>259</v>
      </c>
      <c r="B23" s="160" t="s">
        <v>249</v>
      </c>
      <c r="C23" s="161">
        <f>SUM(C22*(C8*C13))</f>
        <v>7886628000</v>
      </c>
      <c r="D23" s="127"/>
      <c r="E23" s="123"/>
    </row>
    <row r="24" spans="1:5" ht="16.5" customHeight="1">
      <c r="A24" s="163" t="s">
        <v>260</v>
      </c>
      <c r="B24" s="156" t="s">
        <v>246</v>
      </c>
      <c r="C24" s="157">
        <f>SUM(C11*C16*C19)</f>
        <v>72000</v>
      </c>
      <c r="D24" s="127" t="s">
        <v>255</v>
      </c>
      <c r="E24" s="123"/>
    </row>
    <row r="25" spans="1:5" ht="16.5" customHeight="1">
      <c r="A25" s="163" t="s">
        <v>260</v>
      </c>
      <c r="B25" s="127" t="s">
        <v>247</v>
      </c>
      <c r="C25" s="158">
        <f>SUM(C24*C9)</f>
        <v>23040</v>
      </c>
      <c r="D25" s="127"/>
      <c r="E25" s="123"/>
    </row>
    <row r="26" spans="1:5" ht="16.5" customHeight="1">
      <c r="A26" s="163" t="s">
        <v>260</v>
      </c>
      <c r="B26" s="127" t="s">
        <v>248</v>
      </c>
      <c r="C26" s="159">
        <f>SUM(C24*365)</f>
        <v>26280000</v>
      </c>
      <c r="D26" s="127" t="s">
        <v>255</v>
      </c>
      <c r="E26" s="123"/>
    </row>
    <row r="27" spans="1:5" ht="16.5" customHeight="1">
      <c r="A27" s="163" t="s">
        <v>260</v>
      </c>
      <c r="B27" s="160" t="s">
        <v>249</v>
      </c>
      <c r="C27" s="161">
        <f>SUM(C26*(C9*C14))</f>
        <v>168192000</v>
      </c>
      <c r="D27" s="127"/>
      <c r="E27" s="123"/>
    </row>
    <row r="28" spans="1:5" ht="16.5" customHeight="1">
      <c r="A28" s="163" t="s">
        <v>261</v>
      </c>
      <c r="B28" s="124" t="str">
        <f>CONCATENATE("Revenue / Trip / Single Pedestrian  at $",(C8)," /minute for ",(C13)," minutes")</f>
        <v>Revenue / Trip / Single Pedestrian  at $0.05 /minute for 25 minutes</v>
      </c>
      <c r="C28" s="152">
        <f>SUM(C8*$C$13)</f>
        <v>1.25</v>
      </c>
      <c r="D28" s="129" t="s">
        <v>227</v>
      </c>
      <c r="E28" s="123"/>
    </row>
    <row r="29" spans="1:5" ht="16.5" customHeight="1">
      <c r="A29" s="163" t="s">
        <v>260</v>
      </c>
      <c r="B29" s="124" t="str">
        <f>CONCATENATE("Revenue / Trip / Single Car Transport at $",(C9)," /minute for ",(C14)," minutes")</f>
        <v>Revenue / Trip / Single Car Transport at $0.32 /minute for 20 minutes</v>
      </c>
      <c r="C29" s="152">
        <f>SUM(C9*$C$14)</f>
        <v>6.4</v>
      </c>
      <c r="D29" s="129" t="s">
        <v>227</v>
      </c>
      <c r="E29" s="123"/>
    </row>
    <row r="30" spans="1:5" ht="16.5" customHeight="1">
      <c r="A30" s="163"/>
      <c r="B30" s="124" t="s">
        <v>268</v>
      </c>
      <c r="C30" s="157">
        <v>120</v>
      </c>
      <c r="D30" s="127" t="s">
        <v>269</v>
      </c>
      <c r="E30" s="123"/>
    </row>
    <row r="31" spans="1:5" ht="16.5" customHeight="1">
      <c r="A31" s="163"/>
      <c r="B31" s="124" t="str">
        <f>CONCATENATE("Possible Distance Covered Traveling at ",(C30),"mph for ",(C13)," minutes")</f>
        <v>Possible Distance Covered Traveling at 120mph for 25 minutes</v>
      </c>
      <c r="C31" s="151"/>
      <c r="D31" s="127"/>
      <c r="E31" s="123"/>
    </row>
    <row r="32" spans="1:5" ht="16.5" customHeight="1">
      <c r="A32" s="163" t="s">
        <v>262</v>
      </c>
      <c r="B32" s="124" t="s">
        <v>263</v>
      </c>
      <c r="C32" s="153">
        <f>SUM(C23+C27)</f>
        <v>8054820000</v>
      </c>
      <c r="D32" s="123"/>
      <c r="E32" s="123"/>
    </row>
    <row r="33" spans="1:5" ht="16.5" customHeight="1">
      <c r="A33" s="163"/>
      <c r="B33" s="98" t="s">
        <v>199</v>
      </c>
      <c r="C33" s="150">
        <f>'Advertising - Rent'!$G$16</f>
        <v>11601792000</v>
      </c>
      <c r="D33" s="123"/>
      <c r="E33" s="123"/>
    </row>
    <row r="34" spans="1:5" ht="16.5" customHeight="1">
      <c r="A34" s="163"/>
      <c r="B34" s="98" t="s">
        <v>217</v>
      </c>
      <c r="C34" s="150">
        <f>SUM(C29:C33)</f>
        <v>19656612126.4</v>
      </c>
      <c r="D34" s="123"/>
      <c r="E34" s="123"/>
    </row>
    <row r="35" spans="1:5" ht="16.5" customHeight="1">
      <c r="A35" s="163"/>
      <c r="B35" s="124" t="s">
        <v>267</v>
      </c>
      <c r="C35" s="150">
        <f>SUM(C32:C34)</f>
        <v>39313224126.4</v>
      </c>
      <c r="D35" s="123"/>
      <c r="E35" s="123"/>
    </row>
    <row r="36" spans="1:9" ht="18">
      <c r="A36" s="132"/>
      <c r="B36" s="133"/>
      <c r="C36" s="134"/>
      <c r="D36" s="135"/>
      <c r="E36" s="136"/>
      <c r="G36">
        <v>100</v>
      </c>
      <c r="H36" s="130">
        <v>274947000</v>
      </c>
      <c r="I36" s="130">
        <f>+H36*0.7</f>
        <v>192462900</v>
      </c>
    </row>
    <row r="37" spans="3:4" s="139" customFormat="1" ht="15.75">
      <c r="C37" s="137" t="str">
        <f>CONCATENATE("Budget&gt;&gt; Cost for Installation for ",ROUNDDOWN(C7,0)," miles")</f>
        <v>Budget&gt;&gt; Cost for Installation for 1456 miles</v>
      </c>
      <c r="D37" s="138">
        <f>'Costs per kilometer'!$E$48+(C5*'Costs per kilometer'!$E$48)</f>
        <v>27751168106.666664</v>
      </c>
    </row>
    <row r="38" spans="3:4" s="139" customFormat="1" ht="15.75">
      <c r="C38" s="137" t="s">
        <v>228</v>
      </c>
      <c r="D38" s="138">
        <f>SUM(C35)</f>
        <v>39313224126.4</v>
      </c>
    </row>
    <row r="39" spans="3:5" s="139" customFormat="1" ht="15.75">
      <c r="C39" s="137" t="s">
        <v>265</v>
      </c>
      <c r="D39" s="139">
        <f>SUM(D37/D38)</f>
        <v>0.7058990638224182</v>
      </c>
      <c r="E39" s="139" t="s">
        <v>229</v>
      </c>
    </row>
    <row r="40" spans="3:4" s="139" customFormat="1" ht="15.75">
      <c r="C40" s="137" t="s">
        <v>264</v>
      </c>
      <c r="D40" s="140">
        <v>0.5</v>
      </c>
    </row>
    <row r="41" spans="3:4" s="139" customFormat="1" ht="15.75">
      <c r="C41" s="137" t="s">
        <v>264</v>
      </c>
      <c r="D41" s="138">
        <f>SUM(D38*D40)</f>
        <v>19656612063.2</v>
      </c>
    </row>
    <row r="42" spans="3:4" s="139" customFormat="1" ht="15.75">
      <c r="C42" s="137" t="s">
        <v>266</v>
      </c>
      <c r="D42" s="141">
        <f>SUM(D37/(D38*D40))</f>
        <v>1.4117981276448364</v>
      </c>
    </row>
    <row r="43" spans="3:4" s="139" customFormat="1" ht="15">
      <c r="C43" s="142" t="s">
        <v>230</v>
      </c>
      <c r="D43" s="143">
        <v>18</v>
      </c>
    </row>
    <row r="44" spans="3:4" s="139" customFormat="1" ht="15">
      <c r="C44" s="142" t="s">
        <v>251</v>
      </c>
      <c r="D44" s="143">
        <v>4</v>
      </c>
    </row>
    <row r="45" spans="3:4" s="139" customFormat="1" ht="15">
      <c r="C45" s="142" t="s">
        <v>231</v>
      </c>
      <c r="D45" s="144">
        <f>ProductionTimeLine!$N$7</f>
        <v>24.266666666666666</v>
      </c>
    </row>
    <row r="46" spans="3:4" s="139" customFormat="1" ht="15">
      <c r="C46" s="142" t="s">
        <v>232</v>
      </c>
      <c r="D46" s="145">
        <f>SUM(D43:D45)</f>
        <v>46.266666666666666</v>
      </c>
    </row>
    <row r="47" spans="3:4" s="139" customFormat="1" ht="15">
      <c r="C47" s="142" t="s">
        <v>233</v>
      </c>
      <c r="D47" s="145">
        <f>SUM(D46/12)</f>
        <v>3.8555555555555556</v>
      </c>
    </row>
    <row r="48" spans="3:4" s="139" customFormat="1" ht="15.75">
      <c r="C48" s="142" t="s">
        <v>235</v>
      </c>
      <c r="D48" s="146">
        <f>SUM(12*D39)+D46</f>
        <v>54.73745543253568</v>
      </c>
    </row>
    <row r="49" spans="3:4" s="139" customFormat="1" ht="15.75">
      <c r="C49" s="142" t="s">
        <v>236</v>
      </c>
      <c r="D49" s="147">
        <f>SUM(D48/12)</f>
        <v>4.561454619377973</v>
      </c>
    </row>
    <row r="50" spans="3:4" s="139" customFormat="1" ht="15">
      <c r="C50" s="142" t="s">
        <v>341</v>
      </c>
      <c r="D50" s="171">
        <v>10079985</v>
      </c>
    </row>
    <row r="51" spans="2:4" ht="15">
      <c r="B51" s="139"/>
      <c r="C51" s="142" t="s">
        <v>342</v>
      </c>
      <c r="D51" s="172">
        <f>SUM(D41*0.25/D50)</f>
        <v>487.51590560898654</v>
      </c>
    </row>
    <row r="52" spans="3:4" ht="15">
      <c r="C52" s="173" t="s">
        <v>343</v>
      </c>
      <c r="D52" s="171">
        <v>900000</v>
      </c>
    </row>
    <row r="53" spans="3:4" ht="15">
      <c r="C53" s="142" t="str">
        <f>CONCATENATE("Detroit Annual Revenue Per Capita for ",ROUNDDOWN(D6,0)," miles")</f>
        <v>Detroit Annual Revenue Per Capita for 0 miles</v>
      </c>
      <c r="D53" s="172">
        <f>SUM(D52*D51)</f>
        <v>438764315.0480879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9" sqref="D19"/>
    </sheetView>
  </sheetViews>
  <sheetFormatPr defaultColWidth="9.140625" defaultRowHeight="12.75"/>
  <cols>
    <col min="3" max="3" width="22.140625" style="0" customWidth="1"/>
  </cols>
  <sheetData>
    <row r="1" ht="12.75">
      <c r="A1" t="s">
        <v>271</v>
      </c>
    </row>
    <row r="3" spans="1:3" ht="12.75">
      <c r="A3" t="s">
        <v>272</v>
      </c>
      <c r="C3" s="165">
        <f>'Return On Investment'!$C$7</f>
        <v>1456.245</v>
      </c>
    </row>
    <row r="4" spans="1:3" ht="12.75">
      <c r="A4" t="s">
        <v>273</v>
      </c>
      <c r="C4" s="63">
        <f>'Return On Investment'!$C$35/2</f>
        <v>19656612063.2</v>
      </c>
    </row>
    <row r="5" spans="1:3" ht="12.75">
      <c r="A5" t="s">
        <v>274</v>
      </c>
      <c r="C5" s="63">
        <f>SUM($C$4*0.25)</f>
        <v>4914153015.8</v>
      </c>
    </row>
    <row r="6" spans="1:3" ht="12.75">
      <c r="A6" t="s">
        <v>275</v>
      </c>
      <c r="C6" s="63">
        <f>SUM($C$4*0.25)</f>
        <v>4914153015.8</v>
      </c>
    </row>
    <row r="7" spans="1:3" ht="12.75">
      <c r="A7" t="s">
        <v>276</v>
      </c>
      <c r="C7" s="63">
        <f>SUM($C$4*0.25)</f>
        <v>4914153015.8</v>
      </c>
    </row>
    <row r="8" spans="1:3" ht="12.75">
      <c r="A8" t="s">
        <v>277</v>
      </c>
      <c r="C8" s="63">
        <f>SUM($C$4*0.25)</f>
        <v>4914153015.8</v>
      </c>
    </row>
    <row r="10" ht="12.75">
      <c r="A10" t="s">
        <v>278</v>
      </c>
    </row>
    <row r="11" spans="2:3" ht="12.75">
      <c r="B11" s="69" t="s">
        <v>280</v>
      </c>
      <c r="C11">
        <v>83</v>
      </c>
    </row>
    <row r="12" spans="2:4" ht="12.75">
      <c r="B12" s="69" t="s">
        <v>279</v>
      </c>
      <c r="C12">
        <v>300</v>
      </c>
      <c r="D12" t="s">
        <v>338</v>
      </c>
    </row>
    <row r="13" spans="2:3" ht="12.75">
      <c r="B13" s="69" t="s">
        <v>281</v>
      </c>
      <c r="C13" s="166">
        <v>1242</v>
      </c>
    </row>
    <row r="14" spans="2:4" ht="12.75">
      <c r="B14" s="69" t="s">
        <v>282</v>
      </c>
      <c r="C14">
        <v>199</v>
      </c>
      <c r="D14" t="s">
        <v>338</v>
      </c>
    </row>
    <row r="15" spans="2:3" ht="12.75">
      <c r="B15" s="69" t="s">
        <v>283</v>
      </c>
      <c r="C15">
        <v>1</v>
      </c>
    </row>
    <row r="16" spans="1:4" ht="12.75">
      <c r="A16" s="86"/>
      <c r="B16" s="168" t="s">
        <v>284</v>
      </c>
      <c r="C16" s="86">
        <v>10</v>
      </c>
      <c r="D16" s="86" t="s">
        <v>338</v>
      </c>
    </row>
    <row r="17" ht="12.75">
      <c r="C17">
        <f>SUM(C11:C16)</f>
        <v>1835</v>
      </c>
    </row>
    <row r="18" spans="1:4" ht="12.75">
      <c r="A18" t="s">
        <v>339</v>
      </c>
      <c r="C18" s="63">
        <f>SUM(C8/C17)</f>
        <v>2678012.5426702998</v>
      </c>
      <c r="D18" t="s">
        <v>340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64">
      <selection activeCell="B13" sqref="B13"/>
    </sheetView>
  </sheetViews>
  <sheetFormatPr defaultColWidth="9.140625" defaultRowHeight="12.75"/>
  <cols>
    <col min="1" max="1" width="9.140625" style="8" customWidth="1"/>
    <col min="2" max="2" width="27.421875" style="8" customWidth="1"/>
    <col min="3" max="3" width="32.421875" style="8" bestFit="1" customWidth="1"/>
    <col min="4" max="4" width="14.28125" style="8" bestFit="1" customWidth="1"/>
    <col min="5" max="5" width="17.140625" style="8" customWidth="1"/>
    <col min="6" max="6" width="9.140625" style="8" customWidth="1"/>
    <col min="7" max="7" width="33.421875" style="8" customWidth="1"/>
    <col min="8" max="8" width="9.140625" style="8" customWidth="1"/>
    <col min="9" max="9" width="16.421875" style="8" bestFit="1" customWidth="1"/>
    <col min="10" max="16384" width="9.140625" style="8" customWidth="1"/>
  </cols>
  <sheetData>
    <row r="1" spans="1:5" ht="27" thickBot="1">
      <c r="A1" s="5" t="s">
        <v>64</v>
      </c>
      <c r="B1" s="6"/>
      <c r="C1" s="6"/>
      <c r="D1" s="6"/>
      <c r="E1" s="7"/>
    </row>
    <row r="2" spans="2:9" ht="13.5" thickBot="1">
      <c r="B2" s="8" t="s">
        <v>122</v>
      </c>
      <c r="G2" s="9" t="s">
        <v>78</v>
      </c>
      <c r="H2" s="9" t="s">
        <v>79</v>
      </c>
      <c r="I2" s="9" t="s">
        <v>80</v>
      </c>
    </row>
    <row r="3" spans="1:9" ht="13.5" thickBot="1">
      <c r="A3" s="10"/>
      <c r="B3" s="11" t="s">
        <v>126</v>
      </c>
      <c r="C3" s="10"/>
      <c r="G3" s="12">
        <v>1</v>
      </c>
      <c r="H3" s="13" t="s">
        <v>81</v>
      </c>
      <c r="I3" s="14" t="s">
        <v>82</v>
      </c>
    </row>
    <row r="4" spans="1:9" ht="18" customHeight="1" thickBot="1" thickTop="1">
      <c r="A4" s="15" t="s">
        <v>129</v>
      </c>
      <c r="B4" s="16"/>
      <c r="C4" s="17"/>
      <c r="D4" s="17"/>
      <c r="E4" s="18"/>
      <c r="G4" s="19">
        <v>10</v>
      </c>
      <c r="H4" s="14" t="s">
        <v>83</v>
      </c>
      <c r="I4" s="14" t="s">
        <v>84</v>
      </c>
    </row>
    <row r="5" spans="1:9" ht="18" customHeight="1" thickBot="1">
      <c r="A5" s="20"/>
      <c r="B5" s="21" t="s">
        <v>51</v>
      </c>
      <c r="C5" s="22">
        <v>5280</v>
      </c>
      <c r="D5" s="8" t="s">
        <v>52</v>
      </c>
      <c r="G5" s="19">
        <v>100</v>
      </c>
      <c r="H5" s="14" t="s">
        <v>85</v>
      </c>
      <c r="I5" s="14" t="s">
        <v>86</v>
      </c>
    </row>
    <row r="6" spans="1:9" ht="18" customHeight="1" thickBot="1">
      <c r="A6" s="23"/>
      <c r="B6" s="21" t="s">
        <v>77</v>
      </c>
      <c r="C6" s="22">
        <v>16</v>
      </c>
      <c r="D6" s="8" t="s">
        <v>52</v>
      </c>
      <c r="G6" s="19">
        <v>1000</v>
      </c>
      <c r="H6" s="14" t="s">
        <v>87</v>
      </c>
      <c r="I6" s="14" t="s">
        <v>88</v>
      </c>
    </row>
    <row r="7" spans="1:9" ht="18" customHeight="1" thickBot="1">
      <c r="A7" s="23"/>
      <c r="B7" s="21" t="s">
        <v>37</v>
      </c>
      <c r="C7" s="24">
        <f>SUM(C6*C5)</f>
        <v>84480</v>
      </c>
      <c r="D7" s="8" t="s">
        <v>123</v>
      </c>
      <c r="G7" s="19">
        <v>1000000</v>
      </c>
      <c r="H7" s="14" t="s">
        <v>89</v>
      </c>
      <c r="I7" s="14" t="s">
        <v>90</v>
      </c>
    </row>
    <row r="8" spans="1:9" ht="18" customHeight="1" thickBot="1">
      <c r="A8" s="23"/>
      <c r="B8" s="21" t="s">
        <v>134</v>
      </c>
      <c r="C8" s="35">
        <v>16</v>
      </c>
      <c r="D8" s="8" t="s">
        <v>125</v>
      </c>
      <c r="E8" s="8" t="s">
        <v>135</v>
      </c>
      <c r="G8" s="19">
        <v>1000000000</v>
      </c>
      <c r="H8" s="14" t="s">
        <v>91</v>
      </c>
      <c r="I8" s="14" t="s">
        <v>92</v>
      </c>
    </row>
    <row r="9" spans="1:9" ht="18" customHeight="1" thickBot="1">
      <c r="A9" s="23"/>
      <c r="B9" s="21" t="s">
        <v>38</v>
      </c>
      <c r="C9" s="25">
        <f>SUM(C7*C8)</f>
        <v>1351680</v>
      </c>
      <c r="D9" s="8" t="s">
        <v>53</v>
      </c>
      <c r="G9" s="19">
        <v>1000000000000</v>
      </c>
      <c r="H9" s="14" t="s">
        <v>93</v>
      </c>
      <c r="I9" s="14" t="s">
        <v>94</v>
      </c>
    </row>
    <row r="10" spans="1:9" ht="18" customHeight="1" thickBot="1">
      <c r="A10" s="23"/>
      <c r="B10" s="21" t="s">
        <v>116</v>
      </c>
      <c r="C10" s="8">
        <v>10</v>
      </c>
      <c r="D10" s="8" t="s">
        <v>54</v>
      </c>
      <c r="G10" s="19">
        <v>1000000000000000</v>
      </c>
      <c r="H10" s="14" t="s">
        <v>95</v>
      </c>
      <c r="I10" s="14" t="s">
        <v>96</v>
      </c>
    </row>
    <row r="11" spans="1:9" ht="18" customHeight="1" thickBot="1">
      <c r="A11" s="23"/>
      <c r="B11" s="21" t="s">
        <v>55</v>
      </c>
      <c r="C11" s="25">
        <f>SUM(C10*C9)</f>
        <v>13516800</v>
      </c>
      <c r="D11" s="8" t="s">
        <v>56</v>
      </c>
      <c r="G11" s="19">
        <v>1E+18</v>
      </c>
      <c r="H11" s="14" t="s">
        <v>97</v>
      </c>
      <c r="I11" s="14" t="s">
        <v>98</v>
      </c>
    </row>
    <row r="12" spans="1:9" ht="18" customHeight="1" thickBot="1">
      <c r="A12" s="23"/>
      <c r="B12" s="21" t="s">
        <v>270</v>
      </c>
      <c r="C12" s="50">
        <v>1456</v>
      </c>
      <c r="D12" s="8" t="s">
        <v>57</v>
      </c>
      <c r="G12" s="19">
        <v>1E+21</v>
      </c>
      <c r="H12" s="14" t="s">
        <v>99</v>
      </c>
      <c r="I12" s="14" t="s">
        <v>100</v>
      </c>
    </row>
    <row r="13" spans="1:9" ht="18" customHeight="1" thickBot="1">
      <c r="A13" s="23"/>
      <c r="B13" s="21" t="s">
        <v>58</v>
      </c>
      <c r="C13" s="26">
        <f>SUM(C11*C12)</f>
        <v>19680460800</v>
      </c>
      <c r="D13" s="8" t="s">
        <v>58</v>
      </c>
      <c r="G13" s="19">
        <v>1E+24</v>
      </c>
      <c r="H13" s="14" t="s">
        <v>101</v>
      </c>
      <c r="I13" s="14" t="s">
        <v>102</v>
      </c>
    </row>
    <row r="14" spans="1:4" ht="15.75" customHeight="1" thickBot="1">
      <c r="A14" s="27"/>
      <c r="B14" s="21" t="s">
        <v>50</v>
      </c>
      <c r="C14" s="26">
        <f>SUM(C13*365)</f>
        <v>7183368192000</v>
      </c>
      <c r="D14" s="8" t="s">
        <v>59</v>
      </c>
    </row>
    <row r="15" spans="1:5" ht="18" customHeight="1" thickBot="1">
      <c r="A15" s="28" t="s">
        <v>127</v>
      </c>
      <c r="B15" s="16"/>
      <c r="C15" s="51"/>
      <c r="D15" s="17"/>
      <c r="E15" s="18"/>
    </row>
    <row r="16" spans="1:5" ht="18" customHeight="1">
      <c r="A16" s="20"/>
      <c r="B16" s="8" t="s">
        <v>69</v>
      </c>
      <c r="C16" s="50">
        <v>2</v>
      </c>
      <c r="D16" s="8" t="s">
        <v>70</v>
      </c>
      <c r="E16" s="8" t="s">
        <v>130</v>
      </c>
    </row>
    <row r="17" spans="1:3" ht="18" customHeight="1">
      <c r="A17" s="23"/>
      <c r="B17" s="8" t="s">
        <v>71</v>
      </c>
      <c r="C17" s="29">
        <f>SUM(C12/5)*C16</f>
        <v>582.4</v>
      </c>
    </row>
    <row r="18" spans="1:4" ht="18" customHeight="1">
      <c r="A18" s="23"/>
      <c r="B18" s="8" t="s">
        <v>72</v>
      </c>
      <c r="C18" s="29">
        <v>8000</v>
      </c>
      <c r="D18" s="8" t="s">
        <v>117</v>
      </c>
    </row>
    <row r="19" spans="1:3" ht="18" customHeight="1">
      <c r="A19" s="23"/>
      <c r="B19" s="8" t="s">
        <v>119</v>
      </c>
      <c r="C19" s="29">
        <v>12</v>
      </c>
    </row>
    <row r="20" spans="1:3" ht="18" customHeight="1">
      <c r="A20" s="23"/>
      <c r="B20" s="8" t="s">
        <v>73</v>
      </c>
      <c r="C20" s="29">
        <f>SUM(C19*C18)</f>
        <v>96000</v>
      </c>
    </row>
    <row r="21" spans="1:3" ht="18" customHeight="1">
      <c r="A21" s="23"/>
      <c r="B21" s="8" t="s">
        <v>74</v>
      </c>
      <c r="C21" s="29">
        <f>SUM(C19*C18*C17)</f>
        <v>55910400</v>
      </c>
    </row>
    <row r="22" spans="1:3" ht="18" customHeight="1">
      <c r="A22" s="23"/>
      <c r="B22" s="8" t="s">
        <v>75</v>
      </c>
      <c r="C22" s="29">
        <f>SUM(C21*C10)</f>
        <v>559104000</v>
      </c>
    </row>
    <row r="23" spans="1:3" ht="13.5" thickBot="1">
      <c r="A23" s="27"/>
      <c r="B23" s="8" t="s">
        <v>76</v>
      </c>
      <c r="C23" s="29">
        <f>SUM(C22*365)</f>
        <v>204072960000</v>
      </c>
    </row>
    <row r="24" spans="1:5" ht="19.5" customHeight="1" thickBot="1">
      <c r="A24" s="28" t="s">
        <v>128</v>
      </c>
      <c r="B24" s="16"/>
      <c r="C24" s="51"/>
      <c r="D24" s="17"/>
      <c r="E24" s="18"/>
    </row>
    <row r="25" spans="1:5" ht="16.5" customHeight="1">
      <c r="A25" s="20"/>
      <c r="B25" s="8" t="s">
        <v>105</v>
      </c>
      <c r="C25" s="50">
        <v>3</v>
      </c>
      <c r="D25" s="8" t="s">
        <v>106</v>
      </c>
      <c r="E25" s="8" t="s">
        <v>131</v>
      </c>
    </row>
    <row r="26" spans="1:3" ht="16.5" customHeight="1">
      <c r="A26" s="23"/>
      <c r="B26" s="8" t="s">
        <v>120</v>
      </c>
      <c r="C26" s="29">
        <f>SUM(C12*C25)</f>
        <v>4368</v>
      </c>
    </row>
    <row r="27" spans="1:4" ht="16.5" customHeight="1">
      <c r="A27" s="23"/>
      <c r="B27" s="8" t="s">
        <v>107</v>
      </c>
      <c r="C27" s="29">
        <v>160</v>
      </c>
      <c r="D27" s="8" t="s">
        <v>108</v>
      </c>
    </row>
    <row r="28" spans="1:4" ht="16.5" customHeight="1">
      <c r="A28" s="23"/>
      <c r="B28" s="8" t="s">
        <v>109</v>
      </c>
      <c r="C28" s="29">
        <f>SUM(C27*C26)</f>
        <v>698880</v>
      </c>
      <c r="D28" s="8" t="s">
        <v>110</v>
      </c>
    </row>
    <row r="29" spans="1:3" ht="16.5" customHeight="1">
      <c r="A29" s="23"/>
      <c r="B29" s="8" t="s">
        <v>119</v>
      </c>
      <c r="C29" s="29">
        <v>26</v>
      </c>
    </row>
    <row r="30" spans="1:3" ht="16.5" customHeight="1">
      <c r="A30" s="23"/>
      <c r="B30" s="8" t="s">
        <v>115</v>
      </c>
      <c r="C30" s="29">
        <v>8</v>
      </c>
    </row>
    <row r="31" spans="1:3" ht="16.5" customHeight="1">
      <c r="A31" s="23"/>
      <c r="B31" s="8" t="s">
        <v>111</v>
      </c>
      <c r="C31" s="29">
        <f>SUM(C27*C29)</f>
        <v>4160</v>
      </c>
    </row>
    <row r="32" spans="1:3" ht="16.5" customHeight="1">
      <c r="A32" s="23"/>
      <c r="B32" s="8" t="s">
        <v>112</v>
      </c>
      <c r="C32" s="29">
        <f>SUM(C31*C26)</f>
        <v>18170880</v>
      </c>
    </row>
    <row r="33" spans="1:3" ht="16.5" customHeight="1">
      <c r="A33" s="23"/>
      <c r="B33" s="8" t="s">
        <v>113</v>
      </c>
      <c r="C33" s="29">
        <f>SUM(C32*C30)</f>
        <v>145367040</v>
      </c>
    </row>
    <row r="34" spans="1:3" ht="13.5" thickBot="1">
      <c r="A34" s="27"/>
      <c r="B34" s="8" t="s">
        <v>114</v>
      </c>
      <c r="C34" s="29">
        <f>SUM(C33*365)</f>
        <v>53058969600</v>
      </c>
    </row>
    <row r="35" spans="1:5" ht="18.75" thickBot="1">
      <c r="A35" s="28"/>
      <c r="B35" s="15" t="s">
        <v>4</v>
      </c>
      <c r="C35" s="17"/>
      <c r="D35" s="17"/>
      <c r="E35" s="18"/>
    </row>
    <row r="36" spans="2:3" ht="12.75">
      <c r="B36" s="8" t="s">
        <v>2</v>
      </c>
      <c r="C36" s="8">
        <v>500</v>
      </c>
    </row>
    <row r="37" spans="2:3" ht="12.75">
      <c r="B37" s="8" t="s">
        <v>3</v>
      </c>
      <c r="C37" s="8">
        <f>SUM(C36*0.5)</f>
        <v>250</v>
      </c>
    </row>
    <row r="38" spans="2:3" ht="12.75">
      <c r="B38" s="8" t="s">
        <v>5</v>
      </c>
      <c r="C38" s="8">
        <f>SUM(C36*C39)</f>
        <v>1571.4285714285713</v>
      </c>
    </row>
    <row r="39" spans="2:3" ht="12.75">
      <c r="B39" s="8" t="s">
        <v>6</v>
      </c>
      <c r="C39" s="8">
        <v>3.142857142857143</v>
      </c>
    </row>
    <row r="40" spans="2:3" ht="12.75">
      <c r="B40" s="8" t="s">
        <v>24</v>
      </c>
      <c r="C40" s="8">
        <v>300</v>
      </c>
    </row>
    <row r="41" spans="2:3" ht="12.75">
      <c r="B41" s="8" t="s">
        <v>25</v>
      </c>
      <c r="C41" s="42">
        <v>0.2035</v>
      </c>
    </row>
    <row r="42" spans="2:3" ht="12.75">
      <c r="B42" s="8" t="s">
        <v>7</v>
      </c>
      <c r="C42" s="29">
        <f>SUM(C38*C41)</f>
        <v>319.7857142857142</v>
      </c>
    </row>
    <row r="43" spans="2:3" ht="12.75">
      <c r="B43" s="8" t="s">
        <v>8</v>
      </c>
      <c r="C43" s="29">
        <v>5280</v>
      </c>
    </row>
    <row r="44" spans="2:3" ht="12.75">
      <c r="B44" s="8" t="s">
        <v>37</v>
      </c>
      <c r="C44" s="29">
        <f>SUM(C43*C42)</f>
        <v>1688468.5714285711</v>
      </c>
    </row>
    <row r="45" spans="2:3" ht="12.75">
      <c r="B45" s="8" t="s">
        <v>9</v>
      </c>
      <c r="C45" s="48">
        <v>0.8</v>
      </c>
    </row>
    <row r="46" spans="2:3" ht="12.75">
      <c r="B46" s="8" t="s">
        <v>10</v>
      </c>
      <c r="C46" s="29">
        <f>SUM(C45*C44)</f>
        <v>1350774.857142857</v>
      </c>
    </row>
    <row r="47" spans="2:3" ht="12.75">
      <c r="B47" s="8" t="s">
        <v>124</v>
      </c>
      <c r="C47" s="46">
        <v>26</v>
      </c>
    </row>
    <row r="48" spans="2:3" ht="12.75">
      <c r="B48" s="8" t="s">
        <v>11</v>
      </c>
      <c r="C48" s="29">
        <f>SUM(C46*C47)</f>
        <v>35120146.28571428</v>
      </c>
    </row>
    <row r="49" spans="2:4" ht="12.75">
      <c r="B49" s="8" t="s">
        <v>115</v>
      </c>
      <c r="C49" s="49">
        <v>8</v>
      </c>
      <c r="D49" s="8" t="s">
        <v>15</v>
      </c>
    </row>
    <row r="50" spans="2:3" ht="12.75">
      <c r="B50" s="8" t="s">
        <v>12</v>
      </c>
      <c r="C50" s="29">
        <f>SUM(C48*C49)</f>
        <v>280961170.28571427</v>
      </c>
    </row>
    <row r="51" spans="2:3" ht="12.75">
      <c r="B51" s="8" t="s">
        <v>14</v>
      </c>
      <c r="C51" s="49">
        <v>10</v>
      </c>
    </row>
    <row r="52" spans="2:3" ht="12.75">
      <c r="B52" s="8" t="s">
        <v>23</v>
      </c>
      <c r="C52" s="29">
        <f>SUM(C50*C51)</f>
        <v>2809611702.8571424</v>
      </c>
    </row>
    <row r="53" spans="2:3" ht="12.75">
      <c r="B53" s="8" t="s">
        <v>50</v>
      </c>
      <c r="C53" s="29">
        <f>SUM(C52*365)</f>
        <v>1025508271542.8569</v>
      </c>
    </row>
    <row r="54" spans="2:7" ht="12.75">
      <c r="B54" s="8" t="s">
        <v>60</v>
      </c>
      <c r="C54" s="29">
        <f>SUM(C53/1000)</f>
        <v>1025508271.5428569</v>
      </c>
      <c r="F54" s="8">
        <f>SUM((39.4*39.4)/144)</f>
        <v>10.780277777777776</v>
      </c>
      <c r="G54" s="8" t="s">
        <v>16</v>
      </c>
    </row>
    <row r="55" spans="2:7" ht="12.75">
      <c r="B55" s="8" t="s">
        <v>121</v>
      </c>
      <c r="C55" s="30">
        <f>SUM(C53/1000000)</f>
        <v>1025508.2715428569</v>
      </c>
      <c r="F55" s="8">
        <v>1000</v>
      </c>
      <c r="G55" s="8" t="s">
        <v>17</v>
      </c>
    </row>
    <row r="56" spans="2:7" ht="12.75">
      <c r="B56" s="8" t="s">
        <v>13</v>
      </c>
      <c r="C56" s="30">
        <f>SUM(C53/1000000000)</f>
        <v>1025.5082715428568</v>
      </c>
      <c r="F56" s="8">
        <f>SUM(F55/F54)</f>
        <v>92.76198819861374</v>
      </c>
      <c r="G56" s="8" t="s">
        <v>18</v>
      </c>
    </row>
    <row r="57" spans="2:7" ht="12.75">
      <c r="B57" s="8" t="s">
        <v>65</v>
      </c>
      <c r="C57" s="41">
        <f>SUM(C53/1000000000000)</f>
        <v>1.025508271542857</v>
      </c>
      <c r="F57" s="45">
        <v>0.26</v>
      </c>
      <c r="G57" s="8" t="s">
        <v>19</v>
      </c>
    </row>
    <row r="58" spans="2:7" ht="12.75">
      <c r="B58" s="8" t="s">
        <v>21</v>
      </c>
      <c r="C58" s="43">
        <f>SUM(C53)/3.4121415</f>
        <v>300546818337.6501</v>
      </c>
      <c r="F58" s="8">
        <f>SUM(F56*F57)</f>
        <v>24.118116931639573</v>
      </c>
      <c r="G58" s="8" t="s">
        <v>20</v>
      </c>
    </row>
    <row r="59" spans="2:3" ht="13.5" thickBot="1">
      <c r="B59" s="8" t="s">
        <v>22</v>
      </c>
      <c r="C59" s="44">
        <f>SUM(C58/10^15)</f>
        <v>0.0003005468183376501</v>
      </c>
    </row>
    <row r="60" spans="1:5" ht="24" customHeight="1" thickBot="1">
      <c r="A60" s="28" t="s">
        <v>26</v>
      </c>
      <c r="B60" s="16"/>
      <c r="C60" s="17"/>
      <c r="D60" s="17"/>
      <c r="E60" s="18"/>
    </row>
    <row r="61" spans="1:5" ht="18" customHeight="1">
      <c r="A61" s="20"/>
      <c r="B61" s="8" t="s">
        <v>50</v>
      </c>
      <c r="C61" s="30">
        <f>SUM(C23+C14+C34+C53)</f>
        <v>8466008393142.857</v>
      </c>
      <c r="D61" s="31"/>
      <c r="E61" s="31"/>
    </row>
    <row r="62" spans="1:3" ht="18" customHeight="1">
      <c r="A62" s="23"/>
      <c r="B62" s="8" t="s">
        <v>60</v>
      </c>
      <c r="C62" s="29">
        <f>SUM(C61/1000)</f>
        <v>8466008393.142858</v>
      </c>
    </row>
    <row r="63" spans="1:3" ht="18" customHeight="1">
      <c r="A63" s="23"/>
      <c r="B63" s="8" t="s">
        <v>121</v>
      </c>
      <c r="C63" s="29">
        <f>SUM(C61/1000000)</f>
        <v>8466008.393142857</v>
      </c>
    </row>
    <row r="64" spans="1:3" ht="18" customHeight="1">
      <c r="A64" s="23"/>
      <c r="B64" s="8" t="s">
        <v>66</v>
      </c>
      <c r="C64" s="29">
        <f>SUM(C61/1000000000)</f>
        <v>8466.008393142858</v>
      </c>
    </row>
    <row r="65" spans="1:3" ht="18" customHeight="1">
      <c r="A65" s="23"/>
      <c r="B65" s="8" t="s">
        <v>65</v>
      </c>
      <c r="C65" s="29">
        <f>SUM(C61/1000000000000)</f>
        <v>8.466008393142857</v>
      </c>
    </row>
    <row r="66" spans="1:3" ht="18" customHeight="1">
      <c r="A66" s="23"/>
      <c r="B66" s="8" t="s">
        <v>45</v>
      </c>
      <c r="C66" s="47">
        <v>0.1</v>
      </c>
    </row>
    <row r="67" spans="1:3" ht="21" customHeight="1">
      <c r="A67" s="23"/>
      <c r="B67" s="8" t="s">
        <v>118</v>
      </c>
      <c r="C67" s="32">
        <f>SUM(C62*C66)</f>
        <v>846600839.3142858</v>
      </c>
    </row>
    <row r="68" spans="1:3" ht="21" customHeight="1">
      <c r="A68" s="23"/>
      <c r="B68" s="8" t="s">
        <v>67</v>
      </c>
      <c r="C68" s="33">
        <f>SUM(C61*3.4121415)</f>
        <v>28887218577591.062</v>
      </c>
    </row>
    <row r="69" spans="1:4" ht="18" customHeight="1">
      <c r="A69" s="23"/>
      <c r="B69" s="8" t="s">
        <v>68</v>
      </c>
      <c r="C69" s="34">
        <f>SUM(C68/1000000000000000)</f>
        <v>0.02888721857759106</v>
      </c>
      <c r="D69" s="8" t="s">
        <v>103</v>
      </c>
    </row>
    <row r="70" spans="1:4" ht="23.25" customHeight="1">
      <c r="A70" s="23"/>
      <c r="B70" s="8" t="s">
        <v>61</v>
      </c>
      <c r="C70" s="29">
        <v>4200</v>
      </c>
      <c r="D70" s="8" t="s">
        <v>62</v>
      </c>
    </row>
    <row r="71" spans="1:4" ht="18" customHeight="1">
      <c r="A71" s="23"/>
      <c r="B71" s="8" t="s">
        <v>104</v>
      </c>
      <c r="C71" s="29">
        <f>SUM(C61/C70)</f>
        <v>2015716284.0816326</v>
      </c>
      <c r="D71" s="8" t="s">
        <v>63</v>
      </c>
    </row>
    <row r="72" spans="1:4" ht="15.75" customHeight="1">
      <c r="A72" s="23"/>
      <c r="B72" s="8" t="s">
        <v>27</v>
      </c>
      <c r="C72" s="30">
        <f>SUM(C71/10)</f>
        <v>201571628.40816325</v>
      </c>
      <c r="D72" s="8" t="s">
        <v>28</v>
      </c>
    </row>
    <row r="73" spans="1:4" ht="15.75" customHeight="1">
      <c r="A73" s="23"/>
      <c r="B73" s="37" t="s">
        <v>30</v>
      </c>
      <c r="C73" s="34">
        <f>SUM(C72/(80*12))</f>
        <v>209970.4462585034</v>
      </c>
      <c r="D73" s="8" t="s">
        <v>29</v>
      </c>
    </row>
    <row r="74" spans="1:3" ht="15.75" customHeight="1">
      <c r="A74" s="23"/>
      <c r="B74" s="37" t="s">
        <v>31</v>
      </c>
      <c r="C74" s="29">
        <v>500000000</v>
      </c>
    </row>
    <row r="75" spans="1:4" ht="12.75">
      <c r="A75" s="23"/>
      <c r="B75" s="37" t="s">
        <v>32</v>
      </c>
      <c r="C75" s="42">
        <f>SUM(C73/C74)</f>
        <v>0.0004199408925170068</v>
      </c>
      <c r="D75" s="8" t="s">
        <v>33</v>
      </c>
    </row>
    <row r="77" spans="1:2" ht="12.75">
      <c r="A77" s="39" t="s">
        <v>0</v>
      </c>
      <c r="B77" s="38" t="s">
        <v>1</v>
      </c>
    </row>
    <row r="78" spans="1:2" ht="12.75">
      <c r="A78" s="40"/>
      <c r="B78" s="36" t="s">
        <v>132</v>
      </c>
    </row>
    <row r="79" spans="2:6" ht="12.75" customHeight="1">
      <c r="B79" s="170" t="s">
        <v>133</v>
      </c>
      <c r="C79" s="170"/>
      <c r="D79" s="170"/>
      <c r="E79" s="170"/>
      <c r="F79" s="170"/>
    </row>
    <row r="80" spans="2:6" ht="54" customHeight="1">
      <c r="B80" s="170"/>
      <c r="C80" s="170"/>
      <c r="D80" s="170"/>
      <c r="E80" s="170"/>
      <c r="F80" s="170"/>
    </row>
  </sheetData>
  <sheetProtection/>
  <mergeCells count="1">
    <mergeCell ref="B79:F80"/>
  </mergeCells>
  <hyperlinks>
    <hyperlink ref="B77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6">
      <selection activeCell="D12" sqref="D12"/>
    </sheetView>
  </sheetViews>
  <sheetFormatPr defaultColWidth="9.140625" defaultRowHeight="12.75"/>
  <cols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98" t="s">
        <v>199</v>
      </c>
    </row>
    <row r="6" spans="1:7" ht="12.75">
      <c r="A6" s="52" t="s">
        <v>144</v>
      </c>
      <c r="B6" s="52"/>
      <c r="C6" s="52" t="s">
        <v>200</v>
      </c>
      <c r="D6" s="52" t="s">
        <v>201</v>
      </c>
      <c r="E6" s="52" t="s">
        <v>202</v>
      </c>
      <c r="F6" s="52" t="s">
        <v>203</v>
      </c>
      <c r="G6" s="52" t="s">
        <v>204</v>
      </c>
    </row>
    <row r="7" spans="1:7" ht="12.75">
      <c r="A7" s="56">
        <f>'Costs per kilometer'!$A$51</f>
        <v>2345</v>
      </c>
      <c r="B7" t="s">
        <v>148</v>
      </c>
      <c r="C7" s="56" t="s">
        <v>205</v>
      </c>
      <c r="D7" s="99">
        <v>800</v>
      </c>
      <c r="E7" s="77">
        <f aca="true" t="shared" si="0" ref="E7:E15">SUM(F7/30)</f>
        <v>62533.333333333336</v>
      </c>
      <c r="F7" s="100">
        <f aca="true" t="shared" si="1" ref="F7:F15">SUM(D7*A7)</f>
        <v>1876000</v>
      </c>
      <c r="G7" s="63">
        <f aca="true" t="shared" si="2" ref="G7:G15">SUM(F7*12)</f>
        <v>22512000</v>
      </c>
    </row>
    <row r="8" spans="1:7" ht="12.75">
      <c r="A8" s="56">
        <f>'Costs per kilometer'!$A$39</f>
        <v>8</v>
      </c>
      <c r="B8" t="s">
        <v>171</v>
      </c>
      <c r="C8" t="s">
        <v>172</v>
      </c>
      <c r="D8" s="101">
        <v>500000</v>
      </c>
      <c r="E8" s="77">
        <f t="shared" si="0"/>
        <v>133333.33333333334</v>
      </c>
      <c r="F8" s="100">
        <f t="shared" si="1"/>
        <v>4000000</v>
      </c>
      <c r="G8" s="63">
        <f t="shared" si="2"/>
        <v>48000000</v>
      </c>
    </row>
    <row r="9" spans="1:7" ht="12.75">
      <c r="A9" s="56">
        <f>'Costs per kilometer'!$A$40</f>
        <v>2000</v>
      </c>
      <c r="B9" t="s">
        <v>171</v>
      </c>
      <c r="C9" t="s">
        <v>206</v>
      </c>
      <c r="D9" s="101">
        <v>400000</v>
      </c>
      <c r="E9" s="77">
        <f t="shared" si="0"/>
        <v>26666666.666666668</v>
      </c>
      <c r="F9" s="100">
        <f t="shared" si="1"/>
        <v>800000000</v>
      </c>
      <c r="G9" s="63">
        <f t="shared" si="2"/>
        <v>9600000000</v>
      </c>
    </row>
    <row r="10" spans="1:7" ht="12.75">
      <c r="A10" s="102">
        <f>SUM(A7/4)</f>
        <v>586.25</v>
      </c>
      <c r="B10" t="s">
        <v>171</v>
      </c>
      <c r="C10" t="s">
        <v>207</v>
      </c>
      <c r="D10" s="101">
        <v>8000</v>
      </c>
      <c r="E10" s="77">
        <f t="shared" si="0"/>
        <v>156333.33333333334</v>
      </c>
      <c r="F10" s="100">
        <f t="shared" si="1"/>
        <v>4690000</v>
      </c>
      <c r="G10" s="63">
        <f t="shared" si="2"/>
        <v>56280000</v>
      </c>
    </row>
    <row r="11" spans="1:7" ht="12.75">
      <c r="A11" s="56">
        <f>'Costs per kilometer'!$A$42</f>
        <v>2000</v>
      </c>
      <c r="B11" t="s">
        <v>171</v>
      </c>
      <c r="C11" t="s">
        <v>208</v>
      </c>
      <c r="D11" s="101">
        <v>8000</v>
      </c>
      <c r="E11" s="77">
        <f t="shared" si="0"/>
        <v>533333.3333333334</v>
      </c>
      <c r="F11" s="100">
        <f t="shared" si="1"/>
        <v>16000000</v>
      </c>
      <c r="G11" s="63">
        <f t="shared" si="2"/>
        <v>192000000</v>
      </c>
    </row>
    <row r="12" spans="1:7" ht="12.75">
      <c r="A12" s="56">
        <v>0</v>
      </c>
      <c r="B12" t="s">
        <v>171</v>
      </c>
      <c r="C12" t="s">
        <v>209</v>
      </c>
      <c r="D12" s="101">
        <v>8000</v>
      </c>
      <c r="E12" s="77">
        <f t="shared" si="0"/>
        <v>0</v>
      </c>
      <c r="F12" s="100">
        <f t="shared" si="1"/>
        <v>0</v>
      </c>
      <c r="G12" s="63">
        <f t="shared" si="2"/>
        <v>0</v>
      </c>
    </row>
    <row r="13" spans="1:7" ht="12.75">
      <c r="A13" s="56">
        <f>'Costs per kilometer'!$A$44</f>
        <v>1</v>
      </c>
      <c r="B13" t="s">
        <v>171</v>
      </c>
      <c r="C13" t="s">
        <v>210</v>
      </c>
      <c r="D13" s="101">
        <v>250000</v>
      </c>
      <c r="E13" s="77">
        <f t="shared" si="0"/>
        <v>8333.333333333334</v>
      </c>
      <c r="F13" s="100">
        <f t="shared" si="1"/>
        <v>250000</v>
      </c>
      <c r="G13" s="63">
        <f t="shared" si="2"/>
        <v>3000000</v>
      </c>
    </row>
    <row r="14" spans="1:7" ht="12.75">
      <c r="A14" s="56">
        <f>'Costs per kilometer'!$A$45</f>
        <v>3000</v>
      </c>
      <c r="B14" t="s">
        <v>171</v>
      </c>
      <c r="C14" t="s">
        <v>211</v>
      </c>
      <c r="D14" s="101">
        <v>40000</v>
      </c>
      <c r="E14" s="77">
        <f t="shared" si="0"/>
        <v>4000000</v>
      </c>
      <c r="F14" s="100">
        <f t="shared" si="1"/>
        <v>120000000</v>
      </c>
      <c r="G14" s="63">
        <f t="shared" si="2"/>
        <v>1440000000</v>
      </c>
    </row>
    <row r="15" spans="1:7" ht="13.5" thickBot="1">
      <c r="A15" s="103">
        <f>'Costs per kilometer'!$A$47</f>
        <v>1000</v>
      </c>
      <c r="B15" s="66" t="s">
        <v>171</v>
      </c>
      <c r="C15" s="66" t="s">
        <v>212</v>
      </c>
      <c r="D15" s="104">
        <v>20000</v>
      </c>
      <c r="E15" s="67">
        <f t="shared" si="0"/>
        <v>666666.6666666666</v>
      </c>
      <c r="F15" s="105">
        <f t="shared" si="1"/>
        <v>20000000</v>
      </c>
      <c r="G15" s="67">
        <f t="shared" si="2"/>
        <v>240000000</v>
      </c>
    </row>
    <row r="16" spans="1:7" ht="13.5" thickTop="1">
      <c r="A16">
        <f>SUM(A7/1.609)</f>
        <v>1457.4269732753262</v>
      </c>
      <c r="B16" s="106" t="s">
        <v>189</v>
      </c>
      <c r="D16" s="63">
        <f>SUM(D7:D15)</f>
        <v>1234800</v>
      </c>
      <c r="E16" s="63">
        <f>SUM(E7:E15)</f>
        <v>32227200</v>
      </c>
      <c r="F16" s="63">
        <f>SUM(F7:F15)</f>
        <v>966816000</v>
      </c>
      <c r="G16" s="63">
        <f>SUM(G7:G15)</f>
        <v>11601792000</v>
      </c>
    </row>
    <row r="17" spans="5:7" ht="12.75">
      <c r="E17" s="107" t="s">
        <v>213</v>
      </c>
      <c r="F17" s="107" t="s">
        <v>214</v>
      </c>
      <c r="G17" s="107" t="s">
        <v>215</v>
      </c>
    </row>
    <row r="18" spans="4:7" ht="12.75">
      <c r="D18" s="69" t="s">
        <v>216</v>
      </c>
      <c r="E18" s="63">
        <f>SUM(E16/A16)</f>
        <v>22112.394371002134</v>
      </c>
      <c r="F18" s="63">
        <f>SUM(F16/A16)</f>
        <v>663371.831130064</v>
      </c>
      <c r="G18" s="63">
        <f>SUM(G16/A16)</f>
        <v>7960461.973560768</v>
      </c>
    </row>
    <row r="19" ht="12.75">
      <c r="C19" s="63"/>
    </row>
    <row r="22" ht="15.75">
      <c r="A22" s="98" t="s">
        <v>217</v>
      </c>
    </row>
    <row r="23" spans="1:7" ht="12.75">
      <c r="A23" s="52" t="s">
        <v>144</v>
      </c>
      <c r="B23" s="52"/>
      <c r="C23" s="52" t="s">
        <v>200</v>
      </c>
      <c r="D23" s="52" t="s">
        <v>201</v>
      </c>
      <c r="E23" s="52" t="s">
        <v>202</v>
      </c>
      <c r="F23" s="52" t="s">
        <v>203</v>
      </c>
      <c r="G23" s="52" t="s">
        <v>204</v>
      </c>
    </row>
    <row r="24" spans="1:7" ht="12.75">
      <c r="A24" s="56">
        <f>A8</f>
        <v>8</v>
      </c>
      <c r="B24" t="s">
        <v>171</v>
      </c>
      <c r="C24" t="s">
        <v>172</v>
      </c>
      <c r="D24" s="101">
        <v>60000</v>
      </c>
      <c r="E24" s="77">
        <f>SUM(F24/30)</f>
        <v>16000</v>
      </c>
      <c r="F24" s="100">
        <f>SUM(D24*A24)</f>
        <v>480000</v>
      </c>
      <c r="G24" s="63">
        <f>SUM(F24*12)</f>
        <v>5760000</v>
      </c>
    </row>
    <row r="25" spans="1:7" ht="12.75">
      <c r="A25" s="56">
        <f>A11</f>
        <v>2000</v>
      </c>
      <c r="B25" t="str">
        <f>B11</f>
        <v>Each</v>
      </c>
      <c r="C25" t="str">
        <f>C11</f>
        <v>Car Ramps</v>
      </c>
      <c r="D25" s="101">
        <v>20000</v>
      </c>
      <c r="E25" s="77">
        <f>SUM(F25/30)</f>
        <v>1333333.3333333333</v>
      </c>
      <c r="F25" s="100">
        <f>SUM(D25*A25)</f>
        <v>40000000</v>
      </c>
      <c r="G25" s="63">
        <f>SUM(F25*12)</f>
        <v>480000000</v>
      </c>
    </row>
    <row r="26" spans="1:7" ht="13.5" thickBot="1">
      <c r="A26" s="103">
        <f>A9</f>
        <v>2000</v>
      </c>
      <c r="B26" s="66" t="s">
        <v>171</v>
      </c>
      <c r="C26" s="66" t="s">
        <v>206</v>
      </c>
      <c r="D26" s="104">
        <v>12000</v>
      </c>
      <c r="E26" s="108">
        <f>SUM(F26/30)</f>
        <v>800000</v>
      </c>
      <c r="F26" s="105">
        <f>SUM(D26*A26)</f>
        <v>24000000</v>
      </c>
      <c r="G26" s="67">
        <f>SUM(F26*12)</f>
        <v>288000000</v>
      </c>
    </row>
    <row r="27" spans="1:7" ht="13.5" thickTop="1">
      <c r="A27" s="56"/>
      <c r="D27" s="63">
        <f>SUM(D24:D26)</f>
        <v>92000</v>
      </c>
      <c r="E27" s="77">
        <f>SUM(E24:E26)</f>
        <v>2149333.333333333</v>
      </c>
      <c r="F27" s="100">
        <f>SUM(F24:F26)</f>
        <v>64480000</v>
      </c>
      <c r="G27" s="63">
        <f>SUM(G24:G26)</f>
        <v>773760000</v>
      </c>
    </row>
    <row r="29" spans="4:7" ht="12.75">
      <c r="D29" s="69" t="s">
        <v>216</v>
      </c>
      <c r="E29" s="63">
        <f>SUM(E27/$A$16)</f>
        <v>1474.74513148543</v>
      </c>
      <c r="F29" s="63">
        <f>SUM(F27/$A$16)</f>
        <v>44242.3539445629</v>
      </c>
      <c r="G29" s="63">
        <f>SUM(G27/$A$16)</f>
        <v>530908.2473347548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F4" sqref="F4"/>
    </sheetView>
  </sheetViews>
  <sheetFormatPr defaultColWidth="9.140625" defaultRowHeight="12.75"/>
  <cols>
    <col min="1" max="1" width="16.8515625" style="0" customWidth="1"/>
  </cols>
  <sheetData>
    <row r="1" spans="1:6" ht="15.75">
      <c r="A1" s="167" t="s">
        <v>285</v>
      </c>
      <c r="F1" t="s">
        <v>336</v>
      </c>
    </row>
    <row r="2" spans="2:6" ht="15.75">
      <c r="B2" s="167"/>
      <c r="F2" t="s">
        <v>337</v>
      </c>
    </row>
    <row r="3" ht="15.75">
      <c r="A3" s="167"/>
    </row>
    <row r="4" spans="1:2" ht="15.75">
      <c r="A4" s="167">
        <v>254</v>
      </c>
      <c r="B4" s="167" t="s">
        <v>286</v>
      </c>
    </row>
    <row r="5" spans="1:2" ht="15.75">
      <c r="A5" s="167">
        <v>159</v>
      </c>
      <c r="B5" s="167" t="s">
        <v>287</v>
      </c>
    </row>
    <row r="6" spans="1:2" ht="15.75">
      <c r="A6" s="167">
        <v>134</v>
      </c>
      <c r="B6" s="167" t="s">
        <v>288</v>
      </c>
    </row>
    <row r="7" spans="1:2" ht="15.75">
      <c r="A7" s="167">
        <v>120</v>
      </c>
      <c r="B7" s="167" t="s">
        <v>289</v>
      </c>
    </row>
    <row r="8" spans="1:2" ht="15.75">
      <c r="A8" s="167">
        <v>115</v>
      </c>
      <c r="B8" s="167" t="s">
        <v>290</v>
      </c>
    </row>
    <row r="9" spans="1:2" ht="15.75">
      <c r="A9" s="167">
        <v>105</v>
      </c>
      <c r="B9" s="167" t="s">
        <v>291</v>
      </c>
    </row>
    <row r="10" spans="1:2" ht="15.75">
      <c r="A10" s="167">
        <v>102</v>
      </c>
      <c r="B10" s="167" t="s">
        <v>292</v>
      </c>
    </row>
    <row r="11" spans="1:2" ht="15.75">
      <c r="A11" s="167">
        <v>100</v>
      </c>
      <c r="B11" s="167" t="s">
        <v>293</v>
      </c>
    </row>
    <row r="12" spans="1:2" ht="15.75">
      <c r="A12" s="167">
        <v>99</v>
      </c>
      <c r="B12" s="167" t="s">
        <v>294</v>
      </c>
    </row>
    <row r="13" spans="1:2" ht="15.75">
      <c r="A13" s="167">
        <v>95</v>
      </c>
      <c r="B13" s="167" t="s">
        <v>295</v>
      </c>
    </row>
    <row r="14" spans="1:2" ht="15.75">
      <c r="A14" s="167">
        <v>93</v>
      </c>
      <c r="B14" s="167" t="s">
        <v>296</v>
      </c>
    </row>
    <row r="15" spans="1:2" ht="15.75">
      <c r="A15" s="167">
        <v>92</v>
      </c>
      <c r="B15" s="167" t="s">
        <v>297</v>
      </c>
    </row>
    <row r="16" spans="1:2" ht="15.75">
      <c r="A16" s="167">
        <v>88</v>
      </c>
      <c r="B16" s="167" t="s">
        <v>298</v>
      </c>
    </row>
    <row r="17" spans="1:2" ht="15.75">
      <c r="A17" s="167">
        <v>87</v>
      </c>
      <c r="B17" s="167" t="s">
        <v>299</v>
      </c>
    </row>
    <row r="18" spans="1:2" ht="15.75">
      <c r="A18" s="167">
        <v>83</v>
      </c>
      <c r="B18" s="167" t="s">
        <v>300</v>
      </c>
    </row>
    <row r="19" spans="1:2" ht="15.75">
      <c r="A19" s="167">
        <v>82</v>
      </c>
      <c r="B19" s="167" t="s">
        <v>301</v>
      </c>
    </row>
    <row r="20" spans="1:2" ht="15.75">
      <c r="A20" s="167">
        <v>77</v>
      </c>
      <c r="B20" s="167" t="s">
        <v>302</v>
      </c>
    </row>
    <row r="21" spans="1:2" ht="15.75">
      <c r="A21" s="167">
        <v>75</v>
      </c>
      <c r="B21" s="167" t="s">
        <v>303</v>
      </c>
    </row>
    <row r="22" spans="1:2" ht="15.75">
      <c r="A22" s="167">
        <v>72</v>
      </c>
      <c r="B22" s="167" t="s">
        <v>304</v>
      </c>
    </row>
    <row r="23" spans="1:2" ht="15.75">
      <c r="A23" s="167">
        <v>67</v>
      </c>
      <c r="B23" s="167" t="s">
        <v>305</v>
      </c>
    </row>
    <row r="24" spans="1:2" ht="15.75">
      <c r="A24" s="167">
        <v>67</v>
      </c>
      <c r="B24" s="167" t="s">
        <v>306</v>
      </c>
    </row>
    <row r="25" spans="1:2" ht="15.75">
      <c r="A25" s="167">
        <v>67</v>
      </c>
      <c r="B25" s="167" t="s">
        <v>307</v>
      </c>
    </row>
    <row r="26" spans="1:2" ht="15.75">
      <c r="A26" s="167">
        <v>66</v>
      </c>
      <c r="B26" s="167" t="s">
        <v>308</v>
      </c>
    </row>
    <row r="27" spans="1:2" ht="15.75">
      <c r="A27" s="167">
        <v>64</v>
      </c>
      <c r="B27" s="167" t="s">
        <v>309</v>
      </c>
    </row>
    <row r="28" spans="1:2" ht="15.75">
      <c r="A28" s="167">
        <v>64</v>
      </c>
      <c r="B28" s="167" t="s">
        <v>310</v>
      </c>
    </row>
    <row r="29" spans="1:2" ht="15.75">
      <c r="A29" s="167">
        <v>62</v>
      </c>
      <c r="B29" s="167" t="s">
        <v>311</v>
      </c>
    </row>
    <row r="30" spans="1:2" ht="15.75">
      <c r="A30" s="167">
        <v>58</v>
      </c>
      <c r="B30" s="167" t="s">
        <v>312</v>
      </c>
    </row>
    <row r="31" spans="1:2" ht="15.75">
      <c r="A31" s="167">
        <v>56</v>
      </c>
      <c r="B31" s="167" t="s">
        <v>313</v>
      </c>
    </row>
    <row r="32" spans="1:2" ht="15.75">
      <c r="A32" s="167">
        <v>55</v>
      </c>
      <c r="B32" s="167" t="s">
        <v>314</v>
      </c>
    </row>
    <row r="33" spans="1:2" ht="15.75">
      <c r="A33" s="167">
        <v>53</v>
      </c>
      <c r="B33" s="167" t="s">
        <v>315</v>
      </c>
    </row>
    <row r="34" spans="1:2" ht="15.75">
      <c r="A34" s="167">
        <v>46</v>
      </c>
      <c r="B34" s="167" t="s">
        <v>316</v>
      </c>
    </row>
    <row r="35" spans="1:2" ht="15.75">
      <c r="A35" s="167">
        <v>44</v>
      </c>
      <c r="B35" s="167" t="s">
        <v>317</v>
      </c>
    </row>
    <row r="36" spans="1:2" ht="15.75">
      <c r="A36" s="167">
        <v>39</v>
      </c>
      <c r="B36" s="167" t="s">
        <v>318</v>
      </c>
    </row>
    <row r="37" spans="1:2" ht="15.75">
      <c r="A37" s="167">
        <v>36</v>
      </c>
      <c r="B37" s="167" t="s">
        <v>319</v>
      </c>
    </row>
    <row r="38" spans="1:2" ht="15.75">
      <c r="A38" s="167">
        <v>33</v>
      </c>
      <c r="B38" s="167" t="s">
        <v>320</v>
      </c>
    </row>
    <row r="39" spans="1:2" ht="15.75">
      <c r="A39" s="167">
        <v>29</v>
      </c>
      <c r="B39" s="167" t="s">
        <v>321</v>
      </c>
    </row>
    <row r="40" spans="1:2" ht="15.75">
      <c r="A40" s="167">
        <v>27</v>
      </c>
      <c r="B40" s="167" t="s">
        <v>322</v>
      </c>
    </row>
    <row r="41" spans="1:2" ht="15.75">
      <c r="A41" s="167">
        <v>24</v>
      </c>
      <c r="B41" s="167" t="s">
        <v>323</v>
      </c>
    </row>
    <row r="42" spans="1:2" ht="15.75">
      <c r="A42" s="167">
        <v>23</v>
      </c>
      <c r="B42" s="167" t="s">
        <v>324</v>
      </c>
    </row>
    <row r="43" spans="1:2" ht="15.75">
      <c r="A43" s="167">
        <v>21</v>
      </c>
      <c r="B43" s="167" t="s">
        <v>325</v>
      </c>
    </row>
    <row r="44" spans="1:2" ht="15.75">
      <c r="A44" s="167">
        <v>17</v>
      </c>
      <c r="B44" s="167" t="s">
        <v>326</v>
      </c>
    </row>
    <row r="45" spans="1:2" ht="15.75">
      <c r="A45" s="167">
        <v>16</v>
      </c>
      <c r="B45" s="167" t="s">
        <v>327</v>
      </c>
    </row>
    <row r="46" spans="1:2" ht="15.75">
      <c r="A46" s="167">
        <v>15</v>
      </c>
      <c r="B46" s="167" t="s">
        <v>328</v>
      </c>
    </row>
    <row r="47" spans="1:2" ht="15.75">
      <c r="A47" s="167">
        <v>14</v>
      </c>
      <c r="B47" s="167" t="s">
        <v>329</v>
      </c>
    </row>
    <row r="48" spans="1:2" ht="15.75">
      <c r="A48" s="167">
        <v>14</v>
      </c>
      <c r="B48" s="167" t="s">
        <v>330</v>
      </c>
    </row>
    <row r="49" spans="1:2" ht="15.75">
      <c r="A49" s="167">
        <v>10</v>
      </c>
      <c r="B49" s="167" t="s">
        <v>331</v>
      </c>
    </row>
    <row r="50" spans="1:2" ht="15.75">
      <c r="A50" s="167">
        <v>8</v>
      </c>
      <c r="B50" s="167" t="s">
        <v>332</v>
      </c>
    </row>
    <row r="51" spans="1:2" ht="15.75">
      <c r="A51" s="167">
        <v>5</v>
      </c>
      <c r="B51" s="167" t="s">
        <v>333</v>
      </c>
    </row>
    <row r="52" spans="1:2" ht="15.75">
      <c r="A52" s="167">
        <v>5</v>
      </c>
      <c r="B52" s="167" t="s">
        <v>334</v>
      </c>
    </row>
    <row r="53" spans="1:2" ht="15.75">
      <c r="A53" s="167">
        <v>3</v>
      </c>
      <c r="B53" s="167" t="s">
        <v>335</v>
      </c>
    </row>
    <row r="54" ht="15.75">
      <c r="A54" s="16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"/>
  <sheetViews>
    <sheetView workbookViewId="0" topLeftCell="A1">
      <selection activeCell="M7" sqref="M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0.140625" style="0" customWidth="1"/>
    <col min="5" max="5" width="14.421875" style="0" bestFit="1" customWidth="1"/>
    <col min="6" max="6" width="20.00390625" style="0" customWidth="1"/>
    <col min="7" max="7" width="16.8515625" style="0" bestFit="1" customWidth="1"/>
    <col min="8" max="9" width="16.8515625" style="0" customWidth="1"/>
    <col min="10" max="10" width="15.00390625" style="0" bestFit="1" customWidth="1"/>
    <col min="11" max="11" width="20.28125" style="0" bestFit="1" customWidth="1"/>
    <col min="12" max="12" width="9.28125" style="0" bestFit="1" customWidth="1"/>
    <col min="13" max="13" width="12.7109375" style="0" bestFit="1" customWidth="1"/>
    <col min="14" max="14" width="14.140625" style="0" bestFit="1" customWidth="1"/>
  </cols>
  <sheetData>
    <row r="2" ht="33">
      <c r="A2" s="1" t="s">
        <v>137</v>
      </c>
    </row>
    <row r="5" ht="12.75">
      <c r="A5" t="s">
        <v>46</v>
      </c>
    </row>
    <row r="6" spans="1:14" ht="12.75">
      <c r="A6" s="2" t="s">
        <v>36</v>
      </c>
      <c r="B6" s="2" t="s">
        <v>35</v>
      </c>
      <c r="C6" s="2" t="s">
        <v>40</v>
      </c>
      <c r="D6" s="2" t="s">
        <v>34</v>
      </c>
      <c r="E6" s="2" t="s">
        <v>138</v>
      </c>
      <c r="F6" s="2" t="s">
        <v>139</v>
      </c>
      <c r="G6" s="52" t="s">
        <v>47</v>
      </c>
      <c r="H6" s="52" t="s">
        <v>48</v>
      </c>
      <c r="I6" s="52" t="s">
        <v>49</v>
      </c>
      <c r="J6" s="52" t="s">
        <v>41</v>
      </c>
      <c r="K6" s="52" t="s">
        <v>136</v>
      </c>
      <c r="L6" s="52" t="s">
        <v>42</v>
      </c>
      <c r="M6" s="52" t="s">
        <v>43</v>
      </c>
      <c r="N6" s="52" t="s">
        <v>44</v>
      </c>
    </row>
    <row r="7" spans="1:14" ht="12.75">
      <c r="A7" s="3">
        <v>200</v>
      </c>
      <c r="B7" t="s">
        <v>39</v>
      </c>
      <c r="C7" s="3">
        <v>6</v>
      </c>
      <c r="D7" s="3">
        <v>1</v>
      </c>
      <c r="E7" s="53">
        <f>SUM(C7*A7)*4*D7</f>
        <v>4800</v>
      </c>
      <c r="F7" s="53">
        <f>SUM(E7*12)</f>
        <v>57600</v>
      </c>
      <c r="G7" s="57">
        <v>66</v>
      </c>
      <c r="H7" s="55">
        <f>SUM(G7*A7*C7)</f>
        <v>79200</v>
      </c>
      <c r="I7" s="4">
        <f>SUM(H7/5280)</f>
        <v>15</v>
      </c>
      <c r="J7" s="53">
        <f>SUM(G7*F7)</f>
        <v>3801600</v>
      </c>
      <c r="K7" s="54">
        <f>SUM(J7/5280)</f>
        <v>720</v>
      </c>
      <c r="L7" s="53">
        <f>'Energy Calculator'!$C$12</f>
        <v>1456</v>
      </c>
      <c r="M7" s="54">
        <f>SUM(L7/K7)</f>
        <v>2.022222222222222</v>
      </c>
      <c r="N7" s="54">
        <f>SUM(M7*12)</f>
        <v>24.266666666666666</v>
      </c>
    </row>
    <row r="9" ht="12.75">
      <c r="H9" s="58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Eric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Justin Eric Sutton</dc:creator>
  <cp:keywords/>
  <dc:description/>
  <cp:lastModifiedBy>Justin Sutton</cp:lastModifiedBy>
  <cp:lastPrinted>2004-04-22T15:15:18Z</cp:lastPrinted>
  <dcterms:created xsi:type="dcterms:W3CDTF">1996-10-14T23:33:28Z</dcterms:created>
  <dcterms:modified xsi:type="dcterms:W3CDTF">2006-02-08T14:12:11Z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