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782" firstSheet="11" activeTab="13"/>
  </bookViews>
  <sheets>
    <sheet name="Cover Page" sheetId="1" r:id="rId1"/>
    <sheet name="Costs per kilometer" sheetId="2" r:id="rId2"/>
    <sheet name="Old ROI" sheetId="3" r:id="rId3"/>
    <sheet name="Return On Investment Minutes" sheetId="4" r:id="rId4"/>
    <sheet name="Water Production" sheetId="5" r:id="rId5"/>
    <sheet name="SolarCells" sheetId="6" r:id="rId6"/>
    <sheet name="Hyrdrogen Production" sheetId="7" r:id="rId7"/>
    <sheet name="SolarCell per Acre" sheetId="8" r:id="rId8"/>
    <sheet name="Steel and Concrete" sheetId="9" r:id="rId9"/>
    <sheet name="Org Chart" sheetId="10" r:id="rId10"/>
    <sheet name="First Year Simplified Budget" sheetId="11" r:id="rId11"/>
    <sheet name="10 Year Proforma inc stmt" sheetId="12" r:id="rId12"/>
    <sheet name="Michigan Townships on I-96" sheetId="13" r:id="rId13"/>
    <sheet name="ITC National Network" sheetId="14" r:id="rId14"/>
    <sheet name="National Population" sheetId="15" r:id="rId15"/>
    <sheet name="Advertising - Rent" sheetId="16" r:id="rId16"/>
    <sheet name="ProductionTimeLine" sheetId="17" r:id="rId17"/>
    <sheet name="Routes" sheetId="18" r:id="rId18"/>
    <sheet name="Addressing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3">#REF!</definedName>
    <definedName name="Advertising_Rev.month.per.mile">'Advertising - Rent'!$F$18</definedName>
    <definedName name="Advertising_Revenue.per.year.per.mile" localSheetId="3">#REF!</definedName>
    <definedName name="Advertising_Revenue.per.year.per.mile">'Advertising - Rent'!$G$18</definedName>
    <definedName name="Cost_per_Mile_lock__stock__and_barrell" localSheetId="3">#REF!</definedName>
    <definedName name="Cost_per_Mile_lock__stock__and_barrell">'Costs per kilometer'!$E$59</definedName>
    <definedName name="Percentage__to_reflect_expected_Passengers_day" localSheetId="3">'Return On Investment Minutes'!#REF!</definedName>
    <definedName name="Percentage__to_reflect_expected_Passengers_day">'Old ROI'!$C$36</definedName>
    <definedName name="_xlnm.Print_Area" localSheetId="11">'10 Year Proforma inc stmt'!$A$1:$V$69</definedName>
    <definedName name="_xlnm.Print_Area" localSheetId="1">'Costs per kilometer'!$A$36:$E$56</definedName>
    <definedName name="Total_Cost_for_InterState_Traveler_Installation">#REF!</definedName>
    <definedName name="Total_cost_Steel_per_ton" localSheetId="3">#REF!</definedName>
    <definedName name="Total_cost_Steel_per_ton">'Steel and Concrete'!$K$34</definedName>
    <definedName name="Total_Revenue__day_mile_for_Passengers_and_Car_Ferry" localSheetId="3">'Return On Investment Minutes'!#REF!</definedName>
    <definedName name="Total_Revenue__day_mile_for_Passengers_and_Car_Ferry">'Old ROI'!$C$65</definedName>
    <definedName name="Trans_Rev.per.day.per.mile" localSheetId="10">#REF!</definedName>
    <definedName name="Trans_Rev.per.day.per.mile" localSheetId="3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3">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<sst xmlns="http://schemas.openxmlformats.org/spreadsheetml/2006/main" count="1354" uniqueCount="1042">
  <si>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</si>
  <si>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</si>
  <si>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</si>
  <si>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</si>
  <si>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</si>
  <si>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</si>
  <si>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</si>
  <si>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</si>
  <si>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</si>
  <si>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</si>
  <si>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</si>
  <si>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</si>
  <si>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</si>
  <si>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</si>
  <si>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</si>
  <si>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</si>
  <si>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</si>
  <si>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</si>
  <si>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</si>
  <si>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</si>
  <si>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</si>
  <si>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</si>
  <si>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</si>
  <si>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</si>
  <si>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</si>
  <si>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</si>
  <si>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</si>
  <si>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</si>
  <si>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</si>
  <si>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</si>
  <si>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</si>
  <si>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</si>
  <si>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</si>
  <si>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</si>
  <si>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</si>
  <si>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</si>
  <si>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</si>
  <si>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</si>
  <si>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</si>
  <si>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</si>
  <si>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</si>
  <si>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</si>
  <si>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</si>
  <si>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</si>
  <si>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</si>
  <si>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</si>
  <si>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</si>
  <si>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</si>
  <si>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</si>
  <si>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</si>
  <si>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</si>
  <si>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</si>
  <si>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</si>
  <si>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</si>
  <si>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</si>
  <si>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</si>
  <si>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</si>
  <si>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</si>
  <si>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</si>
  <si>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</si>
  <si>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</si>
  <si>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</si>
  <si>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</si>
  <si>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</si>
  <si>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</si>
  <si>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</si>
  <si>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</si>
  <si>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</si>
  <si>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</si>
  <si>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</si>
  <si>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</si>
  <si>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</si>
  <si>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</si>
  <si>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</si>
  <si>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</si>
  <si>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</si>
  <si>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</si>
  <si>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</si>
  <si>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</si>
  <si>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</si>
  <si>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</si>
  <si>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</si>
  <si>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</si>
  <si>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</si>
  <si>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</si>
  <si>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</si>
  <si>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</si>
  <si>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</si>
  <si>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</si>
  <si>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</si>
  <si>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</si>
  <si>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</si>
  <si>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</si>
  <si>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</si>
  <si>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</si>
  <si>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</si>
  <si>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</si>
  <si>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</si>
  <si>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</si>
  <si>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</si>
  <si>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</si>
  <si>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</si>
  <si>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</si>
  <si>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</si>
  <si>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</si>
  <si>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</si>
  <si>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</si>
  <si>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</si>
  <si>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</si>
  <si>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</si>
  <si>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</si>
  <si>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</si>
  <si>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</si>
  <si>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</si>
  <si>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</si>
  <si>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</si>
  <si>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</si>
  <si>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</si>
  <si>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</si>
  <si>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</si>
  <si>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</si>
  <si>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</si>
  <si>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</si>
  <si>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</si>
  <si>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</si>
  <si>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</si>
  <si>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</si>
  <si>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</si>
  <si>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</si>
  <si>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</si>
  <si>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</si>
  <si>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</si>
  <si>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</si>
  <si>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</si>
  <si>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</si>
  <si>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</si>
  <si>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</si>
  <si>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</si>
  <si>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</si>
  <si>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</si>
  <si>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</si>
  <si>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</si>
  <si>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</si>
  <si>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</si>
  <si>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</si>
  <si>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</si>
  <si>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</si>
  <si>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</si>
  <si>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</si>
  <si>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</si>
  <si>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</si>
  <si>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</si>
  <si>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</si>
  <si>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</si>
  <si>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</si>
  <si>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</si>
  <si>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</si>
  <si>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</si>
  <si>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</si>
  <si>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</si>
  <si>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</si>
  <si>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</si>
  <si>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</si>
  <si>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</si>
  <si>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</si>
  <si>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</si>
  <si>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</si>
  <si>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</si>
  <si>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</si>
  <si>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</si>
  <si>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</si>
  <si>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</si>
  <si>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</si>
  <si>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</si>
  <si>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</si>
  <si>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</si>
  <si>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</si>
  <si>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</si>
  <si>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</si>
  <si>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</si>
  <si>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</si>
  <si>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</si>
  <si>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</si>
  <si>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</si>
  <si>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</si>
  <si>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</si>
  <si>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</si>
  <si>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</si>
  <si>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</si>
  <si>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</si>
  <si>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</si>
  <si>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</si>
  <si>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</si>
  <si>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</si>
  <si>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</si>
  <si>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</si>
  <si>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</si>
  <si>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</si>
  <si>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</si>
  <si>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</si>
  <si>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</si>
  <si>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</si>
  <si>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</si>
  <si>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</si>
  <si>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</si>
  <si>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</si>
  <si>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</si>
  <si>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</si>
  <si>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</si>
  <si>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</si>
  <si>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</si>
  <si>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</si>
  <si>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</si>
  <si>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</si>
  <si>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</si>
  <si>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</si>
  <si>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</si>
  <si>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</si>
  <si>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</si>
  <si>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</si>
  <si>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</si>
  <si>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</si>
  <si>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</si>
  <si>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</si>
  <si>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</si>
  <si>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</si>
  <si>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</si>
  <si>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</si>
  <si>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</si>
  <si>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</si>
  <si>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</si>
  <si>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ITC Rail Installation Analysis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</si>
  <si>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</si>
  <si>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</si>
  <si>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</si>
  <si>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</si>
  <si>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</si>
  <si>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</si>
  <si>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</si>
  <si>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</si>
  <si>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</si>
  <si>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</si>
  <si>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</si>
  <si>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</si>
  <si>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</si>
  <si>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</si>
  <si>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</si>
  <si>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</si>
  <si>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</si>
  <si>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</si>
  <si>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</si>
  <si>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</si>
  <si>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</si>
  <si>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</si>
  <si>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</si>
  <si>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</si>
  <si>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</si>
  <si>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</si>
  <si>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</si>
  <si>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</si>
  <si>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</si>
  <si>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</si>
  <si>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</si>
  <si>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</si>
  <si>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</si>
  <si>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</si>
  <si>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</si>
  <si>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</si>
  <si>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</si>
  <si>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</si>
  <si>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</si>
  <si>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</si>
  <si>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</si>
  <si>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</si>
  <si>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</si>
  <si>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</si>
  <si>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</si>
  <si>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</si>
  <si>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</si>
  <si>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</si>
  <si>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</si>
  <si>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</si>
  <si>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</si>
  <si>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</si>
  <si>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</si>
  <si>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</si>
  <si>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</si>
  <si>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</si>
  <si>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</si>
  <si>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</si>
  <si>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</si>
  <si>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</si>
  <si>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</si>
  <si>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</si>
  <si>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</si>
  <si>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</si>
  <si>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</si>
  <si>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</si>
  <si>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</si>
  <si>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</si>
  <si>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</si>
  <si>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</si>
  <si>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</si>
  <si>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</si>
  <si>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</si>
  <si>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</si>
  <si>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</si>
  <si>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</si>
  <si>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</si>
  <si>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</si>
  <si>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</si>
  <si>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</si>
  <si>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</si>
  <si>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</si>
  <si>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</si>
  <si>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</si>
  <si>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</si>
  <si>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</si>
  <si>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</si>
  <si>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</si>
  <si>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</si>
  <si>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</si>
  <si>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</si>
  <si>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</si>
  <si>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</si>
  <si>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</si>
  <si>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</si>
  <si>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</si>
  <si>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</si>
  <si>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</si>
  <si>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</si>
  <si>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</si>
  <si>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</si>
  <si>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</si>
  <si>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</si>
  <si>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</si>
  <si>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</si>
  <si>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</si>
  <si>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</si>
  <si>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</si>
  <si>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</si>
  <si>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</si>
  <si>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</si>
  <si>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</si>
  <si>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</si>
  <si>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</si>
  <si>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</si>
  <si>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</si>
  <si>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</si>
  <si>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</si>
  <si>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</si>
  <si>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</si>
  <si>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</si>
  <si>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</si>
  <si>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</si>
  <si>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</si>
  <si>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</si>
  <si>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</si>
  <si>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</si>
  <si>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</si>
  <si>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</si>
  <si>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</si>
  <si>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</si>
  <si>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</si>
  <si>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</si>
  <si>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</si>
  <si>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</si>
  <si>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</si>
  <si>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</si>
  <si>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</si>
  <si>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</si>
  <si>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</si>
  <si>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</si>
  <si>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</si>
  <si>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</si>
  <si>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</si>
  <si>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</si>
  <si>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</si>
  <si>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</si>
  <si>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</si>
  <si>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</si>
  <si>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</si>
  <si>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</si>
  <si>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</si>
  <si>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</si>
  <si>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</si>
  <si>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</si>
  <si>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</si>
  <si>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</si>
  <si>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</si>
  <si>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</si>
  <si>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</si>
  <si>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</si>
  <si>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</si>
  <si>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</si>
  <si>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</si>
  <si>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</si>
  <si>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</si>
  <si>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</si>
  <si>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</si>
  <si>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</si>
  <si>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</si>
  <si>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</si>
  <si>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</si>
  <si>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</si>
  <si>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</si>
  <si>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</si>
  <si>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</si>
  <si>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</si>
  <si>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</si>
  <si>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</si>
  <si>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</si>
  <si>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</si>
  <si>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</si>
  <si>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</si>
  <si>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</si>
  <si>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</si>
  <si>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</si>
  <si>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</si>
  <si>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</si>
  <si>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</si>
  <si>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</si>
  <si>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</si>
  <si>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</si>
  <si>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</si>
  <si>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</si>
  <si>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</si>
  <si>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</si>
  <si>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</si>
  <si>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</si>
  <si>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</si>
  <si>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</si>
  <si>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</si>
  <si>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</si>
  <si>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</si>
  <si>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</si>
  <si>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</si>
  <si>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</si>
  <si>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</si>
  <si>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</si>
  <si>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</si>
  <si>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</si>
  <si>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</si>
  <si>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</si>
  <si>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</si>
  <si>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</si>
  <si>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</si>
  <si>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</si>
  <si>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</si>
  <si>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</si>
  <si>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</si>
  <si>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</si>
  <si>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</si>
  <si>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</si>
  <si>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</si>
  <si>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</si>
  <si>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</si>
  <si>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</si>
  <si>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</si>
  <si>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</si>
  <si>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</si>
  <si>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</si>
  <si>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</si>
  <si>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</si>
  <si>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</si>
  <si>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</si>
  <si>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</si>
  <si>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</si>
  <si>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</si>
  <si>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</si>
  <si>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</si>
  <si>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</si>
  <si>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</si>
  <si>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</si>
  <si>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</si>
  <si>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</si>
  <si>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</si>
  <si>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</si>
  <si>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</si>
  <si>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</si>
  <si>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</si>
  <si>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</si>
  <si>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</si>
  <si>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</si>
  <si>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</si>
  <si>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</si>
  <si>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</si>
  <si>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</si>
  <si>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</si>
  <si>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</si>
  <si>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</si>
  <si>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</si>
  <si>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</si>
  <si>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</si>
  <si>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</si>
  <si>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</si>
  <si>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</si>
  <si>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</si>
  <si>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</si>
  <si>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</si>
  <si>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</si>
  <si>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</si>
  <si>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</si>
  <si>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</si>
  <si>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</si>
  <si>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</si>
  <si>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</si>
  <si>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</si>
  <si>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</si>
  <si>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</si>
  <si>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</si>
  <si>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</si>
  <si>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</si>
  <si>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</si>
  <si>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</si>
  <si>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</si>
  <si>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</si>
  <si>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</si>
  <si>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</si>
  <si>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</si>
  <si>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</si>
  <si>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</si>
  <si>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</si>
  <si>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</si>
  <si>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</si>
  <si>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</si>
  <si>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</si>
  <si>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</si>
  <si>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</si>
  <si>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</si>
  <si>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</si>
  <si>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</si>
  <si>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</si>
  <si>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</si>
  <si>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</si>
  <si>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</si>
  <si>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</si>
  <si>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</si>
  <si>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</si>
  <si>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</si>
  <si>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</si>
  <si>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</si>
  <si>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</si>
  <si>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</si>
  <si>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</si>
  <si>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</si>
  <si>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</si>
  <si>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</si>
  <si>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</si>
  <si>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</si>
  <si>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</si>
  <si>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</si>
  <si>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</si>
  <si>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</si>
  <si>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</si>
  <si>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</si>
  <si>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</si>
  <si>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</si>
  <si>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</si>
  <si>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</si>
  <si>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</si>
  <si>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</si>
  <si>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</si>
  <si>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</si>
  <si>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</si>
  <si>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</si>
  <si>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</si>
  <si>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</si>
  <si>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</si>
  <si>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</si>
  <si>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</si>
  <si>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</si>
  <si>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</si>
  <si>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</si>
  <si>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</si>
  <si>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</si>
  <si>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</si>
  <si>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</si>
  <si>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</si>
  <si>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</si>
  <si>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</si>
  <si>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</si>
  <si>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</si>
  <si>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</si>
  <si>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</si>
  <si>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</si>
  <si>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</si>
  <si>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</si>
  <si>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</si>
  <si>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</si>
  <si>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</si>
  <si>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</si>
  <si>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</si>
  <si>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</si>
  <si>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</si>
  <si>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</si>
  <si>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</si>
  <si>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</si>
  <si>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</si>
  <si>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</si>
  <si>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</si>
  <si>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</si>
  <si>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</si>
  <si>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</si>
  <si>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</si>
  <si>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</si>
  <si>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</si>
  <si>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</si>
  <si>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</si>
  <si>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</si>
  <si>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</si>
  <si>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</si>
  <si>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</si>
  <si>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</si>
  <si>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</si>
  <si>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</si>
  <si>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</si>
  <si>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Proforma Income Statement</t>
  </si>
  <si>
    <t xml:space="preserve"> - First 3 years are for construction of track</t>
  </si>
  <si>
    <t>Capacity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</si>
  <si>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</si>
  <si>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</si>
  <si>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</si>
  <si>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</si>
  <si>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</si>
  <si>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</si>
  <si>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</si>
  <si>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</si>
  <si>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</si>
  <si>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</si>
  <si>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Revenues:</t>
  </si>
  <si>
    <t>Total revenue</t>
  </si>
  <si>
    <t>Construction costs</t>
  </si>
  <si>
    <t>Engineering costs</t>
  </si>
  <si>
    <t>Maintenance costs</t>
  </si>
  <si>
    <t>Gross Profit/(Loss)</t>
  </si>
  <si>
    <t>Operating Expenses:</t>
  </si>
  <si>
    <t xml:space="preserve">  Salaries &amp; wages</t>
  </si>
  <si>
    <t xml:space="preserve">  Payroll taxes</t>
  </si>
  <si>
    <t xml:space="preserve">  Employee benefits</t>
  </si>
  <si>
    <t xml:space="preserve">  Worker's compensation</t>
  </si>
  <si>
    <t xml:space="preserve"> Building rental</t>
  </si>
  <si>
    <t xml:space="preserve"> Office supplies</t>
  </si>
  <si>
    <t xml:space="preserve"> General insurance</t>
  </si>
  <si>
    <t xml:space="preserve"> Utilities</t>
  </si>
  <si>
    <t xml:space="preserve"> Computer supplies</t>
  </si>
  <si>
    <t xml:space="preserve"> Advertising</t>
  </si>
  <si>
    <t xml:space="preserve"> Employee expenses</t>
  </si>
  <si>
    <t xml:space="preserve"> Travel</t>
  </si>
  <si>
    <t xml:space="preserve"> Professional fees</t>
  </si>
  <si>
    <t xml:space="preserve"> Telecommunications</t>
  </si>
  <si>
    <t xml:space="preserve"> Miscellaneous</t>
  </si>
  <si>
    <t xml:space="preserve"> Postage</t>
  </si>
  <si>
    <t xml:space="preserve"> Payroll processing</t>
  </si>
  <si>
    <t xml:space="preserve"> Bank fees</t>
  </si>
  <si>
    <t xml:space="preserve"> Depreciation</t>
  </si>
  <si>
    <t xml:space="preserve"> Office equipment rental</t>
  </si>
  <si>
    <t xml:space="preserve"> Repairs &amp; maintenance</t>
  </si>
  <si>
    <t>Total operating expenses</t>
  </si>
  <si>
    <t>Net income (loss) before</t>
  </si>
  <si>
    <t xml:space="preserve">  other income</t>
  </si>
  <si>
    <t>Other income (expense)</t>
  </si>
  <si>
    <t xml:space="preserve">  Interest income</t>
  </si>
  <si>
    <t xml:space="preserve">  taxes</t>
  </si>
  <si>
    <t>Federal Income Taxes</t>
  </si>
  <si>
    <t>Net Income (Loss)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</si>
  <si>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</si>
  <si>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</si>
  <si>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</si>
  <si>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</si>
  <si>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</si>
  <si>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</si>
  <si>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</si>
  <si>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</si>
  <si>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</si>
  <si>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</si>
  <si>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</si>
  <si>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</si>
  <si>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</si>
  <si>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</si>
  <si>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</si>
  <si>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</si>
  <si>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</si>
  <si>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</si>
  <si>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</si>
  <si>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</si>
  <si>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</si>
  <si>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</si>
  <si>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</si>
  <si>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</si>
  <si>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</si>
  <si>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</si>
  <si>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</si>
  <si>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</si>
  <si>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</si>
  <si>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</si>
  <si>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</si>
  <si>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</si>
  <si>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</si>
  <si>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</si>
  <si>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</si>
  <si>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</si>
  <si>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</si>
  <si>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</si>
  <si>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</si>
  <si>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</si>
  <si>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</si>
  <si>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</si>
  <si>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</si>
  <si>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</si>
  <si>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</si>
  <si>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</si>
  <si>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</si>
  <si>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</si>
  <si>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</si>
  <si>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</si>
  <si>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</si>
  <si>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</si>
  <si>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</si>
  <si>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</si>
  <si>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</si>
  <si>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</si>
  <si>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</si>
  <si>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</si>
  <si>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</si>
  <si>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</si>
  <si>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</si>
  <si>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</si>
  <si>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</si>
  <si>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</si>
  <si>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</si>
  <si>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</si>
  <si>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 xml:space="preserve"> - Cost to build ITC Rail system is $10 Million/Mile</t>
  </si>
  <si>
    <t>I 96 Coridor Townships</t>
  </si>
  <si>
    <t>Township</t>
  </si>
  <si>
    <t>County</t>
  </si>
  <si>
    <t>Population</t>
  </si>
  <si>
    <t>Supervisor</t>
  </si>
  <si>
    <t>Phone</t>
  </si>
  <si>
    <t>Fax</t>
  </si>
  <si>
    <t>Address</t>
  </si>
  <si>
    <t>Address 2</t>
  </si>
  <si>
    <t>City</t>
  </si>
  <si>
    <t>Zip</t>
  </si>
  <si>
    <t>York Charter</t>
  </si>
  <si>
    <t>Washtenaw</t>
  </si>
  <si>
    <t>Bill Dean</t>
  </si>
  <si>
    <t>734-439-8842</t>
  </si>
  <si>
    <t>734-439-3016</t>
  </si>
  <si>
    <t>11560 Stoney Creek Rd</t>
  </si>
  <si>
    <t>Milan</t>
  </si>
  <si>
    <t>Pittsfield Charter</t>
  </si>
  <si>
    <t>James Walter</t>
  </si>
  <si>
    <t>734-944-4440</t>
  </si>
  <si>
    <t>734-944-0128</t>
  </si>
  <si>
    <t>6201 Michigan Ave</t>
  </si>
  <si>
    <t>Ann Arbor</t>
  </si>
  <si>
    <t>Genoa</t>
  </si>
  <si>
    <t>Livingston</t>
  </si>
  <si>
    <t>Gary McCririe</t>
  </si>
  <si>
    <t>810-227-5225</t>
  </si>
  <si>
    <t>810-227-3420</t>
  </si>
  <si>
    <t>2911 Dorr Rd</t>
  </si>
  <si>
    <t>Brighton</t>
  </si>
  <si>
    <t>Handy</t>
  </si>
  <si>
    <t>Cynthia Denby</t>
  </si>
  <si>
    <t>517-223-3228</t>
  </si>
  <si>
    <t>517-223-3983</t>
  </si>
  <si>
    <t>135 N. Grand Ave</t>
  </si>
  <si>
    <t>PO Box 315</t>
  </si>
  <si>
    <t>Fowlerville</t>
  </si>
  <si>
    <t>Howell</t>
  </si>
  <si>
    <t>William Earl</t>
  </si>
  <si>
    <t>517-546-2817</t>
  </si>
  <si>
    <t>517-546-1483</t>
  </si>
  <si>
    <t>3525 Byron Rd.</t>
  </si>
  <si>
    <t>John Rogers</t>
  </si>
  <si>
    <t>810-229-0550</t>
  </si>
  <si>
    <t>313-229-1778</t>
  </si>
  <si>
    <t>4363 Buno Rd</t>
  </si>
  <si>
    <t>Plainfield Charter</t>
  </si>
  <si>
    <t>Kent</t>
  </si>
  <si>
    <t>David M Goenleer</t>
  </si>
  <si>
    <t>616-364-8466</t>
  </si>
  <si>
    <t>616-364-6537</t>
  </si>
  <si>
    <t>6161 Belmont Ave N.E.</t>
  </si>
  <si>
    <t>PO Box 365</t>
  </si>
  <si>
    <t>Belmont</t>
  </si>
  <si>
    <t>Lowell Charter</t>
  </si>
  <si>
    <t>John Timpson</t>
  </si>
  <si>
    <t>616-897-7600</t>
  </si>
  <si>
    <t>616-897-6482</t>
  </si>
  <si>
    <t>2910 Alden Nash Ave. S.E.</t>
  </si>
  <si>
    <t>PO Box 37</t>
  </si>
  <si>
    <t>Lowell</t>
  </si>
  <si>
    <t>Grand Rapids Charter</t>
  </si>
  <si>
    <t>Michael DeVries</t>
  </si>
  <si>
    <t>616-361-7391</t>
  </si>
  <si>
    <t>616-361-6620</t>
  </si>
  <si>
    <t>1836 E. Beltline Ave. N.E.</t>
  </si>
  <si>
    <t>Grand Rapids</t>
  </si>
  <si>
    <t>Cascade Charter</t>
  </si>
  <si>
    <t>Michael Julien</t>
  </si>
  <si>
    <t>616-949-1500</t>
  </si>
  <si>
    <t>616-949-3918</t>
  </si>
  <si>
    <t>2865 Thornhills Ave. S.E.</t>
  </si>
  <si>
    <t>Caledonia Charter</t>
  </si>
  <si>
    <t>Bryan Harrison</t>
  </si>
  <si>
    <t>616-891-0070</t>
  </si>
  <si>
    <t>616-891-0430</t>
  </si>
  <si>
    <t xml:space="preserve">250 Maple St. </t>
  </si>
  <si>
    <t>Caledonia</t>
  </si>
  <si>
    <t>Bowne</t>
  </si>
  <si>
    <t>Peter Silver</t>
  </si>
  <si>
    <t>616-868-6846</t>
  </si>
  <si>
    <t>616-868-0110</t>
  </si>
  <si>
    <t>6059 Linfield S.E.</t>
  </si>
  <si>
    <t>Alto</t>
  </si>
  <si>
    <t>Ada</t>
  </si>
  <si>
    <t>George Haga</t>
  </si>
  <si>
    <t>616-676-9191</t>
  </si>
  <si>
    <t>616-676-5870</t>
  </si>
  <si>
    <t>7330 Thornapple River Dr. S.E.</t>
  </si>
  <si>
    <t>PO Box 370</t>
  </si>
  <si>
    <t>Alpine</t>
  </si>
  <si>
    <t>Cindy Heinbeck</t>
  </si>
  <si>
    <t>616-784-1262</t>
  </si>
  <si>
    <t>616-784-1234</t>
  </si>
  <si>
    <t>5255 Alpine Ave, N.W.</t>
  </si>
  <si>
    <t>Comstock Park</t>
  </si>
  <si>
    <t>Sebewa</t>
  </si>
  <si>
    <t>Ionia</t>
  </si>
  <si>
    <t>James Stank</t>
  </si>
  <si>
    <t>616-374-8373</t>
  </si>
  <si>
    <t>616-374-8444</t>
  </si>
  <si>
    <t>778 Clarksville Rd.</t>
  </si>
  <si>
    <t>Portland</t>
  </si>
  <si>
    <t>Odessa</t>
  </si>
  <si>
    <t>Robert Cobb</t>
  </si>
  <si>
    <t>616-374-4237</t>
  </si>
  <si>
    <t>616-374-4257</t>
  </si>
  <si>
    <t>PO Box 575</t>
  </si>
  <si>
    <t>3862 Laural Dr.</t>
  </si>
  <si>
    <t>Lake Odessa</t>
  </si>
  <si>
    <t>Boston</t>
  </si>
  <si>
    <t>Robert Dunton</t>
  </si>
  <si>
    <t>616-642-6636</t>
  </si>
  <si>
    <t>616-642-0113</t>
  </si>
  <si>
    <t>PO Box 2</t>
  </si>
  <si>
    <t>Saranac</t>
  </si>
  <si>
    <t>Campbell</t>
  </si>
  <si>
    <t>Lyle Jackson</t>
  </si>
  <si>
    <t>616-693-2920</t>
  </si>
  <si>
    <t>PO Box 137</t>
  </si>
  <si>
    <t>Clarksville</t>
  </si>
  <si>
    <t>Danby</t>
  </si>
  <si>
    <t>Gary Reisbig</t>
  </si>
  <si>
    <t>517-649-2200</t>
  </si>
  <si>
    <t>517-649-0032</t>
  </si>
  <si>
    <t>13122 Charlotte Hwy</t>
  </si>
  <si>
    <t>Sunfield</t>
  </si>
  <si>
    <t>Meridian</t>
  </si>
  <si>
    <t>Ingham</t>
  </si>
  <si>
    <t>Susan McGillicuddy</t>
  </si>
  <si>
    <t>517-349-1200</t>
  </si>
  <si>
    <t>517-349-0506</t>
  </si>
  <si>
    <t>5151 Marsh Rd</t>
  </si>
  <si>
    <t>Okemos</t>
  </si>
  <si>
    <t>Williamstown</t>
  </si>
  <si>
    <t>Mickey Martin</t>
  </si>
  <si>
    <t>517-655-3193</t>
  </si>
  <si>
    <t>517-655-3917</t>
  </si>
  <si>
    <t>4990 Zimmer Rd</t>
  </si>
  <si>
    <t>Williamston</t>
  </si>
  <si>
    <t>Lansing Charter</t>
  </si>
  <si>
    <t>John Daher</t>
  </si>
  <si>
    <t>517-485-4063</t>
  </si>
  <si>
    <t>517-485-3276</t>
  </si>
  <si>
    <t>3209 W. Michigan Ave</t>
  </si>
  <si>
    <t>Lansing</t>
  </si>
  <si>
    <t>Leroy</t>
  </si>
  <si>
    <t>Neil West</t>
  </si>
  <si>
    <t>517-521-3729</t>
  </si>
  <si>
    <t>517-521-4665</t>
  </si>
  <si>
    <t>PO Box 416</t>
  </si>
  <si>
    <t>Webberville</t>
  </si>
  <si>
    <t>Oneida</t>
  </si>
  <si>
    <t>Eaton</t>
  </si>
  <si>
    <t>Donald Cooley</t>
  </si>
  <si>
    <t>517-627-8271</t>
  </si>
  <si>
    <t>517-627-5961</t>
  </si>
  <si>
    <t>Grand Ledge</t>
  </si>
  <si>
    <t>Delta Charter</t>
  </si>
  <si>
    <t>Joseph Drolett</t>
  </si>
  <si>
    <t>517-323-7750</t>
  </si>
  <si>
    <t>517-323-8599</t>
  </si>
  <si>
    <t>7710 W. Saginaw Hw</t>
  </si>
  <si>
    <t>Watertown Charter</t>
  </si>
  <si>
    <t>Clinton</t>
  </si>
  <si>
    <t>Edward McKeon</t>
  </si>
  <si>
    <t>517-626-6593</t>
  </si>
  <si>
    <t>517-626-6405</t>
  </si>
  <si>
    <t>12803 Wacousta Rd.</t>
  </si>
  <si>
    <t>Eagle</t>
  </si>
  <si>
    <t>David Morris</t>
  </si>
  <si>
    <t>517-627-7261</t>
  </si>
  <si>
    <t>517-626-2351</t>
  </si>
  <si>
    <t xml:space="preserve">PO Box 147 </t>
  </si>
  <si>
    <t>Total Population</t>
  </si>
  <si>
    <t xml:space="preserve">  Federal Grant / Bond revenue</t>
  </si>
  <si>
    <t>Total Revenues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</si>
  <si>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</si>
  <si>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</si>
  <si>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</si>
  <si>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</si>
  <si>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</si>
  <si>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</si>
  <si>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</si>
  <si>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</si>
  <si>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</si>
  <si>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</si>
  <si>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</si>
  <si>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</si>
  <si>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</si>
  <si>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</si>
  <si>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</si>
  <si>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</si>
  <si>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</si>
  <si>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</si>
  <si>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</si>
  <si>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</si>
  <si>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</si>
  <si>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</si>
  <si>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</si>
  <si>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</si>
  <si>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</si>
  <si>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</si>
  <si>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</si>
  <si>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</si>
  <si>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</si>
  <si>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</si>
  <si>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</si>
  <si>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</si>
  <si>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</si>
  <si>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</si>
  <si>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</si>
  <si>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</si>
  <si>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</si>
  <si>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</si>
  <si>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</si>
  <si>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</si>
  <si>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</si>
  <si>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</si>
  <si>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</si>
  <si>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</si>
  <si>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</si>
  <si>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</si>
  <si>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Revenue Carried Forward</t>
  </si>
  <si>
    <t>Total Costs</t>
  </si>
  <si>
    <t>Prototype Cost</t>
  </si>
  <si>
    <t xml:space="preserve"> - Proforma based on a 300 mile installation costing $3 Billion with costs taken out in year 4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</si>
  <si>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</si>
  <si>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</si>
  <si>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</si>
  <si>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</si>
  <si>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</si>
  <si>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</si>
  <si>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</si>
  <si>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</si>
  <si>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</si>
  <si>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</si>
  <si>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</si>
  <si>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</si>
  <si>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</si>
  <si>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</si>
  <si>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</si>
  <si>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</si>
  <si>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</si>
  <si>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</si>
  <si>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</si>
  <si>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</si>
  <si>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</si>
  <si>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</si>
  <si>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</si>
  <si>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</si>
  <si>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</si>
  <si>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</si>
  <si>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</si>
  <si>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</si>
  <si>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</si>
  <si>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</si>
  <si>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</si>
  <si>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</si>
  <si>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</si>
  <si>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</si>
  <si>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</si>
  <si>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</si>
  <si>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via Fairbox Collections, Rent, Advertising</t>
  </si>
  <si>
    <t>total Miles of track for this estimate</t>
  </si>
  <si>
    <t>Passenger Fee / Minute</t>
  </si>
  <si>
    <t>Car Transport Fee / Minute</t>
  </si>
  <si>
    <t>Average Time of Trip for Pedestrian</t>
  </si>
  <si>
    <t>Average Distance of Trip for Car Transport</t>
  </si>
  <si>
    <t>Total Simultaneous Capacity  (Passengers Only)</t>
  </si>
  <si>
    <t>Total Daily Capacity  (Average Time * Total Capacity)</t>
  </si>
  <si>
    <t>Projected Use as an Average over 24 hours</t>
  </si>
  <si>
    <t>Percent of Capacity</t>
  </si>
  <si>
    <t>Car Trans</t>
  </si>
  <si>
    <t>Pedestrian</t>
  </si>
  <si>
    <t>Rides</t>
  </si>
  <si>
    <t>Average Speed Traveled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</si>
  <si>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</si>
  <si>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</si>
  <si>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</si>
  <si>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</si>
  <si>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</si>
  <si>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</si>
  <si>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r>
      <t xml:space="preserve">Total Projected Use </t>
    </r>
    <r>
      <rPr>
        <b/>
        <sz val="10"/>
        <rFont val="Arial"/>
        <family val="2"/>
      </rPr>
      <t>Daily</t>
    </r>
  </si>
  <si>
    <r>
      <t xml:space="preserve">Total Projected Revenue </t>
    </r>
    <r>
      <rPr>
        <b/>
        <sz val="10"/>
        <rFont val="Arial"/>
        <family val="2"/>
      </rPr>
      <t>Daily</t>
    </r>
  </si>
  <si>
    <r>
      <t xml:space="preserve">Total Projected Use </t>
    </r>
    <r>
      <rPr>
        <b/>
        <sz val="10"/>
        <rFont val="Arial"/>
        <family val="2"/>
      </rPr>
      <t>Annually</t>
    </r>
  </si>
  <si>
    <r>
      <t xml:space="preserve">Total Projected Revenue </t>
    </r>
    <r>
      <rPr>
        <b/>
        <sz val="10"/>
        <rFont val="Arial"/>
        <family val="2"/>
      </rPr>
      <t>Annually</t>
    </r>
  </si>
  <si>
    <r>
      <t xml:space="preserve">Revenue </t>
    </r>
    <r>
      <rPr>
        <b/>
        <i/>
        <sz val="10"/>
        <rFont val="Arial"/>
        <family val="2"/>
      </rPr>
      <t>All Transports</t>
    </r>
    <r>
      <rPr>
        <sz val="10"/>
        <rFont val="Arial"/>
        <family val="2"/>
      </rPr>
      <t>/ Annually at xx% of Capacity</t>
    </r>
  </si>
  <si>
    <t>Total Rent and Advertising</t>
  </si>
  <si>
    <t>Kilograms/hour</t>
  </si>
  <si>
    <t>Gasoline equivelent units @12ncmh/gal</t>
  </si>
  <si>
    <t>Total/day</t>
  </si>
  <si>
    <t>Michigan Population</t>
  </si>
  <si>
    <t>Detroit Population</t>
  </si>
  <si>
    <t>PerCapita Revenue for State of Michigan</t>
  </si>
  <si>
    <t>Chief Executive Officer</t>
  </si>
  <si>
    <t>Economy desktop computers</t>
  </si>
  <si>
    <t>Monthly Outlay over 12 months</t>
  </si>
  <si>
    <t>Detroit to Ann Arbor</t>
  </si>
  <si>
    <t xml:space="preserve"> (Freight is NOT included in this figure)</t>
  </si>
  <si>
    <t>Grand Public Car  (GPC)</t>
  </si>
  <si>
    <t>Total Months Until Fully Operational</t>
  </si>
  <si>
    <t>figured at $5/ft yet may be purchase at $.35/ft</t>
  </si>
  <si>
    <t>One every FOUR kilometers  (2.5 Miles)</t>
  </si>
  <si>
    <t>Efficiency</t>
  </si>
  <si>
    <t>Car/Pedest</t>
  </si>
  <si>
    <t xml:space="preserve">ITC Rail Return On Investment </t>
  </si>
  <si>
    <t>Total Annual Dept Service Fund (P/P Partnership)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</si>
</sst>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u val="doubleAccounting"/>
      <sz val="10"/>
      <name val="Arial"/>
      <family val="2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9" fontId="3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2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14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2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42" fontId="0" fillId="0" borderId="2" xfId="0" applyNumberFormat="1" applyBorder="1" applyAlignment="1">
      <alignment/>
    </xf>
    <xf numFmtId="0" fontId="43" fillId="0" borderId="0" xfId="0" applyFont="1" applyAlignment="1">
      <alignment/>
    </xf>
    <xf numFmtId="0" fontId="14" fillId="0" borderId="2" xfId="0" applyFont="1" applyBorder="1" applyAlignment="1">
      <alignment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9" fillId="0" borderId="9" xfId="0" applyFont="1" applyFill="1" applyBorder="1" applyAlignment="1" applyProtection="1">
      <alignment/>
      <protection/>
    </xf>
    <xf numFmtId="180" fontId="9" fillId="0" borderId="23" xfId="15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center"/>
    </xf>
    <xf numFmtId="9" fontId="9" fillId="6" borderId="21" xfId="21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0" fontId="0" fillId="0" borderId="1" xfId="0" applyFont="1" applyBorder="1" applyAlignment="1">
      <alignment/>
    </xf>
    <xf numFmtId="0" fontId="44" fillId="0" borderId="5" xfId="0" applyFont="1" applyFill="1" applyBorder="1" applyAlignment="1">
      <alignment/>
    </xf>
    <xf numFmtId="0" fontId="0" fillId="0" borderId="16" xfId="0" applyFont="1" applyBorder="1" applyAlignment="1">
      <alignment/>
    </xf>
    <xf numFmtId="169" fontId="15" fillId="0" borderId="16" xfId="0" applyNumberFormat="1" applyFont="1" applyBorder="1" applyAlignment="1">
      <alignment/>
    </xf>
    <xf numFmtId="180" fontId="9" fillId="0" borderId="16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68" fontId="9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168" fontId="15" fillId="0" borderId="5" xfId="0" applyNumberFormat="1" applyFont="1" applyBorder="1" applyAlignment="1">
      <alignment/>
    </xf>
    <xf numFmtId="0" fontId="45" fillId="5" borderId="1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0" fontId="15" fillId="0" borderId="0" xfId="0" applyFont="1" applyAlignment="1">
      <alignment horizontal="right"/>
    </xf>
    <xf numFmtId="173" fontId="21" fillId="0" borderId="23" xfId="0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168" fontId="9" fillId="6" borderId="23" xfId="0" applyNumberFormat="1" applyFont="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4" fillId="0" borderId="45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27</xdr:col>
      <xdr:colOff>0</xdr:colOff>
      <xdr:row>115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124825"/>
          <a:ext cx="14630400" cy="1097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53</xdr:col>
      <xdr:colOff>76200</xdr:colOff>
      <xdr:row>40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AfterThinkPadTemp\Quotes\ITC%20HSH%20Performance%20Calculator%20for%20Michigan%201456%20Miles%20at%205%20cents%20per%20minu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  <sheetData sheetId="7">
        <row r="32">
          <cell r="E32">
            <v>74400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s per kilometer"/>
      <sheetName val="Return On Investment"/>
      <sheetName val="Public Revenue Chain"/>
      <sheetName val="Energy Calculator"/>
      <sheetName val="Advertising - Rent"/>
      <sheetName val="Stats"/>
      <sheetName val="ProductionTimeLine"/>
    </sheetNames>
    <sheetDataSet>
      <sheetData sheetId="6">
        <row r="7">
          <cell r="N7">
            <v>24.266666666666666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zoomScale="75" zoomScaleNormal="75" workbookViewId="0" topLeftCell="A54">
      <selection activeCell="M15" sqref="M15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0</v>
      </c>
    </row>
    <row r="18" ht="12.75">
      <c r="F18" t="s">
        <v>1</v>
      </c>
    </row>
    <row r="28" spans="2:7" ht="20.25">
      <c r="B28" s="3" t="s">
        <v>2</v>
      </c>
      <c r="C28" s="3"/>
      <c r="D28" s="3"/>
      <c r="E28" s="3"/>
      <c r="F28" s="3"/>
      <c r="G28" s="3"/>
    </row>
    <row r="29" ht="12.75">
      <c r="B29" t="s">
        <v>3</v>
      </c>
    </row>
    <row r="32" spans="2:5" ht="12.75">
      <c r="B32" s="4" t="s">
        <v>0</v>
      </c>
      <c r="C32" s="4"/>
      <c r="D32" s="4"/>
      <c r="E32" s="4"/>
    </row>
    <row r="33" spans="2:6" ht="12.75">
      <c r="B33" s="5" t="s">
        <v>175</v>
      </c>
      <c r="C33" s="5"/>
      <c r="D33" s="5"/>
      <c r="E33" s="5"/>
      <c r="F33" s="5"/>
    </row>
    <row r="34" spans="2:3" ht="12.75">
      <c r="B34" s="4" t="s">
        <v>4</v>
      </c>
      <c r="C34" s="4"/>
    </row>
    <row r="35" spans="2:7" ht="12.75">
      <c r="B35" s="4" t="s">
        <v>5</v>
      </c>
      <c r="C35" s="4"/>
      <c r="D35" s="4"/>
      <c r="G35" t="s">
        <v>6</v>
      </c>
    </row>
    <row r="36" spans="2:4" ht="12.75">
      <c r="B36" s="4" t="s">
        <v>7</v>
      </c>
      <c r="C36" s="4"/>
      <c r="D36" s="4"/>
    </row>
    <row r="37" spans="2:4" ht="12.75">
      <c r="B37" s="4" t="s">
        <v>8</v>
      </c>
      <c r="C37" s="4"/>
      <c r="D37" s="4"/>
    </row>
    <row r="38" spans="2:4" ht="12.75">
      <c r="B38" s="5" t="s">
        <v>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9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D76" sqref="D76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90" t="s">
        <v>603</v>
      </c>
    </row>
    <row r="2" ht="18">
      <c r="A2" s="290" t="s">
        <v>666</v>
      </c>
    </row>
    <row r="3" ht="12.75">
      <c r="A3" s="15" t="s">
        <v>667</v>
      </c>
    </row>
    <row r="4" ht="18">
      <c r="A4" s="212" t="s">
        <v>668</v>
      </c>
    </row>
    <row r="5" ht="15">
      <c r="A5" s="291" t="s">
        <v>669</v>
      </c>
    </row>
    <row r="6" spans="1:6" ht="12.75">
      <c r="A6" s="52" t="s">
        <v>670</v>
      </c>
      <c r="B6" s="52" t="s">
        <v>37</v>
      </c>
      <c r="C6" s="52"/>
      <c r="D6" s="52" t="s">
        <v>671</v>
      </c>
      <c r="E6" s="52" t="s">
        <v>672</v>
      </c>
      <c r="F6" s="52"/>
    </row>
    <row r="7" spans="1:5" ht="12.75">
      <c r="A7">
        <v>1</v>
      </c>
      <c r="B7" t="s">
        <v>673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1029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674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675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676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677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678</v>
      </c>
      <c r="C13" s="81"/>
      <c r="D13" s="107">
        <v>8000</v>
      </c>
      <c r="E13" s="27">
        <f t="shared" si="0"/>
        <v>96000</v>
      </c>
    </row>
    <row r="14" spans="1:5" ht="12.75">
      <c r="A14">
        <v>12</v>
      </c>
      <c r="B14" t="s">
        <v>679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680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8" t="s">
        <v>681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682</v>
      </c>
      <c r="E17" s="27">
        <f>SUM(E7:E16)</f>
        <v>1752000</v>
      </c>
    </row>
    <row r="18" spans="1:5" ht="14.25" customHeight="1">
      <c r="A18">
        <v>1</v>
      </c>
      <c r="C18" s="51" t="s">
        <v>683</v>
      </c>
      <c r="D18" s="51"/>
      <c r="E18" s="27">
        <v>96000</v>
      </c>
    </row>
    <row r="19" spans="1:5" ht="14.25" customHeight="1">
      <c r="A19">
        <v>1</v>
      </c>
      <c r="C19" s="51" t="s">
        <v>684</v>
      </c>
      <c r="D19">
        <v>0.0765</v>
      </c>
      <c r="E19" s="27">
        <f>SUM(E17*D19)</f>
        <v>134028</v>
      </c>
    </row>
    <row r="20" spans="3:5" ht="14.25" customHeight="1">
      <c r="C20" s="51" t="s">
        <v>685</v>
      </c>
      <c r="D20" s="174">
        <v>0.01</v>
      </c>
      <c r="E20" s="27">
        <f>SUM(D20*E17)</f>
        <v>17520</v>
      </c>
    </row>
    <row r="21" spans="3:5" ht="14.25" customHeight="1">
      <c r="C21" s="51"/>
      <c r="D21" s="174" t="s">
        <v>686</v>
      </c>
      <c r="E21" s="27">
        <f>SUM(E17:E20)</f>
        <v>1999548</v>
      </c>
    </row>
    <row r="22" spans="3:5" ht="14.25" customHeight="1">
      <c r="C22" s="51"/>
      <c r="D22" s="174"/>
      <c r="E22" s="27"/>
    </row>
    <row r="23" spans="1:5" ht="14.25" customHeight="1">
      <c r="A23" s="291" t="s">
        <v>687</v>
      </c>
      <c r="C23" s="51"/>
      <c r="D23" s="174"/>
      <c r="E23" s="27"/>
    </row>
    <row r="24" spans="1:5" ht="14.25" customHeight="1">
      <c r="A24" s="52" t="s">
        <v>101</v>
      </c>
      <c r="B24" s="52" t="s">
        <v>37</v>
      </c>
      <c r="C24" s="52"/>
      <c r="D24" s="52" t="s">
        <v>39</v>
      </c>
      <c r="E24" s="52" t="s">
        <v>688</v>
      </c>
    </row>
    <row r="25" spans="1:5" ht="14.25" customHeight="1">
      <c r="A25">
        <v>8</v>
      </c>
      <c r="B25" t="s">
        <v>689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1030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690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688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91" t="s">
        <v>691</v>
      </c>
    </row>
    <row r="31" spans="1:5" ht="12.75">
      <c r="A31" s="52" t="s">
        <v>692</v>
      </c>
      <c r="B31" s="52" t="s">
        <v>37</v>
      </c>
      <c r="C31" s="52"/>
      <c r="D31" s="52" t="s">
        <v>39</v>
      </c>
      <c r="E31" s="52" t="s">
        <v>693</v>
      </c>
    </row>
    <row r="32" spans="1:5" ht="12.75">
      <c r="A32">
        <v>12</v>
      </c>
      <c r="B32" t="s">
        <v>694</v>
      </c>
      <c r="D32" s="107">
        <v>2000</v>
      </c>
      <c r="E32" s="107">
        <f aca="true" t="shared" si="1" ref="E32:E46">SUM(D32*A32)</f>
        <v>24000</v>
      </c>
    </row>
    <row r="33" spans="1:5" ht="12.75">
      <c r="A33">
        <v>12</v>
      </c>
      <c r="B33" t="s">
        <v>695</v>
      </c>
      <c r="D33" s="107">
        <v>800</v>
      </c>
      <c r="E33" s="107">
        <f t="shared" si="1"/>
        <v>9600</v>
      </c>
    </row>
    <row r="34" spans="1:5" ht="12.75">
      <c r="A34">
        <v>12</v>
      </c>
      <c r="B34" t="s">
        <v>696</v>
      </c>
      <c r="D34" s="107">
        <v>500</v>
      </c>
      <c r="E34" s="107">
        <f t="shared" si="1"/>
        <v>6000</v>
      </c>
    </row>
    <row r="35" spans="1:5" ht="12.75">
      <c r="A35">
        <v>12</v>
      </c>
      <c r="B35" t="s">
        <v>697</v>
      </c>
      <c r="D35" s="107">
        <v>3000</v>
      </c>
      <c r="E35" s="107">
        <f t="shared" si="1"/>
        <v>36000</v>
      </c>
    </row>
    <row r="36" spans="1:5" ht="12.75">
      <c r="A36">
        <v>12</v>
      </c>
      <c r="B36" t="s">
        <v>698</v>
      </c>
      <c r="D36" s="107">
        <v>800</v>
      </c>
      <c r="E36" s="107">
        <f t="shared" si="1"/>
        <v>9600</v>
      </c>
    </row>
    <row r="37" spans="1:5" ht="12.75">
      <c r="A37">
        <v>12</v>
      </c>
      <c r="B37" t="s">
        <v>699</v>
      </c>
      <c r="D37" s="107">
        <v>500</v>
      </c>
      <c r="E37" s="107">
        <f t="shared" si="1"/>
        <v>6000</v>
      </c>
    </row>
    <row r="38" spans="1:5" ht="12.75">
      <c r="A38">
        <v>12</v>
      </c>
      <c r="B38" t="s">
        <v>700</v>
      </c>
      <c r="D38" s="292">
        <v>500</v>
      </c>
      <c r="E38" s="292">
        <f t="shared" si="1"/>
        <v>6000</v>
      </c>
    </row>
    <row r="39" spans="1:5" ht="12.75">
      <c r="A39">
        <v>12</v>
      </c>
      <c r="B39" t="s">
        <v>701</v>
      </c>
      <c r="D39" s="107">
        <v>2400</v>
      </c>
      <c r="E39" s="107">
        <f t="shared" si="1"/>
        <v>28800</v>
      </c>
    </row>
    <row r="40" spans="1:5" ht="12.75">
      <c r="A40">
        <v>12</v>
      </c>
      <c r="B40" t="s">
        <v>702</v>
      </c>
      <c r="D40" s="107">
        <v>330</v>
      </c>
      <c r="E40" s="107">
        <f t="shared" si="1"/>
        <v>3960</v>
      </c>
    </row>
    <row r="41" spans="1:5" ht="12.75">
      <c r="A41">
        <v>12</v>
      </c>
      <c r="B41" t="s">
        <v>703</v>
      </c>
      <c r="D41" s="107">
        <v>3000</v>
      </c>
      <c r="E41" s="107">
        <f t="shared" si="1"/>
        <v>36000</v>
      </c>
    </row>
    <row r="42" spans="1:5" ht="12.75">
      <c r="A42">
        <v>12</v>
      </c>
      <c r="B42" t="s">
        <v>704</v>
      </c>
      <c r="D42" s="107">
        <v>800</v>
      </c>
      <c r="E42" s="107">
        <f t="shared" si="1"/>
        <v>9600</v>
      </c>
    </row>
    <row r="43" spans="1:5" ht="12.75">
      <c r="A43">
        <v>12</v>
      </c>
      <c r="B43" t="s">
        <v>705</v>
      </c>
      <c r="D43" s="107">
        <v>100</v>
      </c>
      <c r="E43" s="107">
        <f t="shared" si="1"/>
        <v>1200</v>
      </c>
    </row>
    <row r="44" spans="1:5" ht="12.75">
      <c r="A44">
        <v>12</v>
      </c>
      <c r="B44" t="s">
        <v>706</v>
      </c>
      <c r="D44" s="107">
        <v>2000</v>
      </c>
      <c r="E44" s="107">
        <f t="shared" si="1"/>
        <v>24000</v>
      </c>
    </row>
    <row r="45" spans="1:5" ht="12.75">
      <c r="A45">
        <v>12</v>
      </c>
      <c r="B45" t="s">
        <v>707</v>
      </c>
      <c r="D45" s="107">
        <v>2000</v>
      </c>
      <c r="E45" s="107">
        <f t="shared" si="1"/>
        <v>24000</v>
      </c>
    </row>
    <row r="46" spans="1:5" ht="12.75">
      <c r="A46" s="18">
        <v>12</v>
      </c>
      <c r="B46" s="18" t="s">
        <v>708</v>
      </c>
      <c r="C46" s="18"/>
      <c r="D46" s="17">
        <v>2000</v>
      </c>
      <c r="E46" s="17">
        <f t="shared" si="1"/>
        <v>24000</v>
      </c>
    </row>
    <row r="47" spans="4:5" ht="12.75">
      <c r="D47" s="107" t="s">
        <v>688</v>
      </c>
      <c r="E47" s="107">
        <f>SUM(E32:E46)</f>
        <v>248760</v>
      </c>
    </row>
    <row r="48" spans="4:5" ht="12.75">
      <c r="D48" s="107"/>
      <c r="E48" s="107"/>
    </row>
    <row r="49" spans="1:6" ht="12.75">
      <c r="A49" t="s">
        <v>709</v>
      </c>
      <c r="D49" s="107"/>
      <c r="E49" s="107"/>
      <c r="F49" s="63"/>
    </row>
    <row r="50" spans="1:5" ht="12.75">
      <c r="A50" s="293" t="s">
        <v>36</v>
      </c>
      <c r="B50" s="293" t="s">
        <v>37</v>
      </c>
      <c r="C50" s="293"/>
      <c r="D50" s="294" t="s">
        <v>39</v>
      </c>
      <c r="E50" s="294" t="s">
        <v>688</v>
      </c>
    </row>
    <row r="51" spans="1:5" ht="12.75">
      <c r="A51">
        <v>32</v>
      </c>
      <c r="B51" t="s">
        <v>710</v>
      </c>
      <c r="D51" s="107">
        <v>500</v>
      </c>
      <c r="E51" s="107">
        <f>SUM(D51*A51)</f>
        <v>16000</v>
      </c>
    </row>
    <row r="52" spans="1:5" ht="12.75">
      <c r="A52">
        <v>12</v>
      </c>
      <c r="B52" t="s">
        <v>711</v>
      </c>
      <c r="D52" s="107">
        <v>48000</v>
      </c>
      <c r="E52" s="107">
        <f>SUM(D52*A52)</f>
        <v>576000</v>
      </c>
    </row>
    <row r="53" spans="1:5" ht="12.75">
      <c r="A53">
        <v>1</v>
      </c>
      <c r="B53" t="s">
        <v>712</v>
      </c>
      <c r="D53" s="107">
        <v>100000</v>
      </c>
      <c r="E53" s="107">
        <f>SUM(D53*A53)</f>
        <v>100000</v>
      </c>
    </row>
    <row r="54" spans="1:5" ht="12.75">
      <c r="A54">
        <v>21</v>
      </c>
      <c r="B54" t="s">
        <v>713</v>
      </c>
      <c r="D54" s="107">
        <v>1000</v>
      </c>
      <c r="E54" s="107">
        <f>SUM(D54*A54)</f>
        <v>21000</v>
      </c>
    </row>
    <row r="55" spans="1:5" ht="12.75">
      <c r="A55">
        <v>1</v>
      </c>
      <c r="B55" t="s">
        <v>714</v>
      </c>
      <c r="D55" s="107">
        <v>70000</v>
      </c>
      <c r="E55" s="107">
        <f>SUM(D55*A55)</f>
        <v>70000</v>
      </c>
    </row>
    <row r="56" spans="1:5" ht="12.75">
      <c r="A56">
        <v>1</v>
      </c>
      <c r="B56" t="s">
        <v>715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716</v>
      </c>
      <c r="D57" s="107">
        <v>70000</v>
      </c>
      <c r="E57" s="107">
        <f aca="true" t="shared" si="2" ref="E57:E65">SUM(D57*A57)</f>
        <v>70000</v>
      </c>
    </row>
    <row r="58" spans="1:5" ht="12.75">
      <c r="A58" s="81">
        <v>1</v>
      </c>
      <c r="B58" s="81" t="s">
        <v>717</v>
      </c>
      <c r="C58" s="81"/>
      <c r="D58" s="107">
        <v>70000</v>
      </c>
      <c r="E58" s="107">
        <f t="shared" si="2"/>
        <v>70000</v>
      </c>
    </row>
    <row r="59" spans="1:5" ht="12.75">
      <c r="A59" s="181">
        <v>1</v>
      </c>
      <c r="B59" s="181" t="s">
        <v>718</v>
      </c>
      <c r="D59" s="107">
        <v>250000</v>
      </c>
      <c r="E59" s="107">
        <f t="shared" si="2"/>
        <v>250000</v>
      </c>
    </row>
    <row r="60" spans="1:5" ht="12.75">
      <c r="A60" s="181">
        <v>1</v>
      </c>
      <c r="B60" s="181" t="s">
        <v>719</v>
      </c>
      <c r="C60" s="81"/>
      <c r="D60" s="107">
        <v>1000000</v>
      </c>
      <c r="E60" s="107">
        <f t="shared" si="2"/>
        <v>1000000</v>
      </c>
    </row>
    <row r="61" spans="1:5" ht="12.75">
      <c r="A61" s="181">
        <v>1</v>
      </c>
      <c r="B61" s="181" t="s">
        <v>720</v>
      </c>
      <c r="C61" s="81"/>
      <c r="D61" s="107">
        <v>1000000</v>
      </c>
      <c r="E61" s="107">
        <f t="shared" si="2"/>
        <v>1000000</v>
      </c>
    </row>
    <row r="62" spans="1:5" ht="12.75">
      <c r="A62" s="181">
        <v>1</v>
      </c>
      <c r="B62" s="181" t="s">
        <v>721</v>
      </c>
      <c r="C62" s="81"/>
      <c r="D62" s="107">
        <v>1000000</v>
      </c>
      <c r="E62" s="107">
        <f t="shared" si="2"/>
        <v>1000000</v>
      </c>
    </row>
    <row r="63" spans="1:5" ht="12.75">
      <c r="A63" s="181">
        <v>1</v>
      </c>
      <c r="B63" s="181" t="s">
        <v>722</v>
      </c>
      <c r="C63" s="81"/>
      <c r="D63" s="107">
        <v>3000000</v>
      </c>
      <c r="E63" s="107">
        <f t="shared" si="2"/>
        <v>3000000</v>
      </c>
    </row>
    <row r="64" spans="1:5" ht="12.75">
      <c r="A64" s="181">
        <v>2</v>
      </c>
      <c r="B64" s="181" t="s">
        <v>723</v>
      </c>
      <c r="C64" s="81"/>
      <c r="D64" s="107">
        <v>250000</v>
      </c>
      <c r="E64" s="107">
        <f t="shared" si="2"/>
        <v>500000</v>
      </c>
    </row>
    <row r="65" spans="1:5" ht="13.5" thickBot="1">
      <c r="A65" s="35">
        <v>2</v>
      </c>
      <c r="B65" s="35" t="s">
        <v>724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725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726</v>
      </c>
    </row>
    <row r="69" spans="4:6" ht="12.75" customHeight="1">
      <c r="D69" s="51" t="s">
        <v>727</v>
      </c>
      <c r="E69" s="27">
        <f>$E$21</f>
        <v>1999548</v>
      </c>
      <c r="F69" s="266">
        <f>SUM(E69/$E$73)</f>
        <v>0.19501301420951941</v>
      </c>
    </row>
    <row r="70" spans="4:6" ht="12.75" customHeight="1">
      <c r="D70" s="51" t="s">
        <v>728</v>
      </c>
      <c r="E70" s="27">
        <f>$E$28</f>
        <v>36100</v>
      </c>
      <c r="F70" s="266">
        <f>SUM(E70/$E$73)</f>
        <v>0.0035207806028980802</v>
      </c>
    </row>
    <row r="71" spans="4:6" ht="12.75">
      <c r="D71" s="51" t="s">
        <v>729</v>
      </c>
      <c r="E71" s="27">
        <f>$E$47</f>
        <v>248760</v>
      </c>
      <c r="F71" s="266">
        <f>SUM(E71/$E$73)</f>
        <v>0.02426120173897303</v>
      </c>
    </row>
    <row r="72" spans="3:6" ht="13.5" thickBot="1">
      <c r="C72" s="39"/>
      <c r="D72" s="295" t="s">
        <v>730</v>
      </c>
      <c r="E72" s="40">
        <f>$E$66</f>
        <v>7969000</v>
      </c>
      <c r="F72" s="296">
        <f>SUM(E72/$E$73)</f>
        <v>0.7772050034486094</v>
      </c>
    </row>
    <row r="73" spans="4:6" ht="13.5" thickTop="1">
      <c r="D73" s="51" t="s">
        <v>731</v>
      </c>
      <c r="E73" s="27">
        <f>SUM(E69:E72)</f>
        <v>10253408</v>
      </c>
      <c r="F73" s="266">
        <f>SUM(F69:F72)</f>
        <v>1</v>
      </c>
    </row>
    <row r="75" spans="4:5" ht="12.75">
      <c r="D75" s="51" t="s">
        <v>1031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workbookViewId="0" topLeftCell="C9">
      <selection activeCell="A1" sqref="A1:V69"/>
    </sheetView>
  </sheetViews>
  <sheetFormatPr defaultColWidth="9.140625" defaultRowHeight="12.75"/>
  <cols>
    <col min="2" max="2" width="25.00390625" style="0" customWidth="1"/>
    <col min="3" max="3" width="1.57421875" style="0" customWidth="1"/>
    <col min="4" max="4" width="17.00390625" style="0" bestFit="1" customWidth="1"/>
    <col min="5" max="5" width="2.57421875" style="0" customWidth="1"/>
    <col min="6" max="6" width="17.00390625" style="0" customWidth="1"/>
    <col min="7" max="7" width="2.00390625" style="0" customWidth="1"/>
    <col min="8" max="8" width="17.00390625" style="0" bestFit="1" customWidth="1"/>
    <col min="9" max="9" width="1.7109375" style="0" customWidth="1"/>
    <col min="10" max="10" width="15.00390625" style="0" bestFit="1" customWidth="1"/>
    <col min="11" max="11" width="2.00390625" style="0" customWidth="1"/>
    <col min="12" max="12" width="15.00390625" style="0" bestFit="1" customWidth="1"/>
    <col min="13" max="13" width="1.421875" style="0" customWidth="1"/>
    <col min="14" max="14" width="15.00390625" style="0" bestFit="1" customWidth="1"/>
    <col min="15" max="15" width="1.57421875" style="0" customWidth="1"/>
    <col min="16" max="16" width="16.140625" style="0" customWidth="1"/>
    <col min="17" max="17" width="1.8515625" style="0" customWidth="1"/>
    <col min="18" max="18" width="16.57421875" style="0" customWidth="1"/>
    <col min="19" max="19" width="2.28125" style="0" customWidth="1"/>
    <col min="20" max="20" width="15.57421875" style="0" bestFit="1" customWidth="1"/>
    <col min="21" max="21" width="1.8515625" style="0" customWidth="1"/>
    <col min="22" max="22" width="17.421875" style="0" customWidth="1"/>
  </cols>
  <sheetData>
    <row r="1" spans="1:6" ht="22.5">
      <c r="A1" s="317" t="s">
        <v>603</v>
      </c>
      <c r="F1" s="268"/>
    </row>
    <row r="2" spans="1:6" ht="23.25">
      <c r="A2" s="6" t="s">
        <v>617</v>
      </c>
      <c r="F2" s="268"/>
    </row>
    <row r="3" ht="12.75">
      <c r="A3" s="269"/>
    </row>
    <row r="4" ht="15">
      <c r="A4" s="19" t="s">
        <v>732</v>
      </c>
    </row>
    <row r="5" ht="15">
      <c r="A5" s="19" t="s">
        <v>618</v>
      </c>
    </row>
    <row r="7" ht="15">
      <c r="A7" s="19" t="s">
        <v>960</v>
      </c>
    </row>
    <row r="10" spans="10:22" ht="12.75">
      <c r="J10" s="270">
        <v>0.5</v>
      </c>
      <c r="L10" s="271">
        <v>0.7</v>
      </c>
      <c r="M10" s="12"/>
      <c r="N10" s="271">
        <v>0.9</v>
      </c>
      <c r="O10" s="12"/>
      <c r="P10" s="271">
        <v>1</v>
      </c>
      <c r="Q10" s="12"/>
      <c r="R10" s="271">
        <v>1</v>
      </c>
      <c r="S10" s="12"/>
      <c r="T10" s="271">
        <v>1</v>
      </c>
      <c r="U10" s="12"/>
      <c r="V10" s="271">
        <v>1</v>
      </c>
    </row>
    <row r="11" spans="10:22" ht="12.75">
      <c r="J11" s="272" t="s">
        <v>619</v>
      </c>
      <c r="L11" s="272" t="s">
        <v>619</v>
      </c>
      <c r="M11" s="12"/>
      <c r="N11" s="272" t="s">
        <v>619</v>
      </c>
      <c r="O11" s="12"/>
      <c r="P11" s="272" t="s">
        <v>619</v>
      </c>
      <c r="Q11" s="12"/>
      <c r="R11" s="272" t="s">
        <v>619</v>
      </c>
      <c r="S11" s="12"/>
      <c r="T11" s="272" t="s">
        <v>619</v>
      </c>
      <c r="U11" s="12"/>
      <c r="V11" s="272" t="s">
        <v>619</v>
      </c>
    </row>
    <row r="12" spans="4:22" ht="12.75">
      <c r="D12" s="273" t="s">
        <v>620</v>
      </c>
      <c r="E12" s="274"/>
      <c r="F12" s="273" t="s">
        <v>621</v>
      </c>
      <c r="G12" s="274"/>
      <c r="H12" s="273" t="s">
        <v>622</v>
      </c>
      <c r="I12" s="274"/>
      <c r="J12" s="273" t="s">
        <v>623</v>
      </c>
      <c r="K12" s="275"/>
      <c r="L12" s="273" t="s">
        <v>624</v>
      </c>
      <c r="M12" s="275"/>
      <c r="N12" s="273" t="s">
        <v>625</v>
      </c>
      <c r="O12" s="275"/>
      <c r="P12" s="273" t="s">
        <v>626</v>
      </c>
      <c r="Q12" s="275"/>
      <c r="R12" s="273" t="s">
        <v>627</v>
      </c>
      <c r="S12" s="275"/>
      <c r="T12" s="276" t="s">
        <v>628</v>
      </c>
      <c r="U12" s="275"/>
      <c r="V12" s="273" t="s">
        <v>629</v>
      </c>
    </row>
    <row r="13" ht="12.75">
      <c r="B13" s="41" t="s">
        <v>630</v>
      </c>
    </row>
    <row r="14" spans="2:22" ht="12.75">
      <c r="B14" t="s">
        <v>910</v>
      </c>
      <c r="D14" s="277">
        <v>1500000</v>
      </c>
      <c r="E14" s="277"/>
      <c r="F14" s="277">
        <v>20000000</v>
      </c>
      <c r="G14" s="277"/>
      <c r="H14" s="277">
        <v>80000000</v>
      </c>
      <c r="I14" s="277"/>
      <c r="J14" s="264">
        <f>SUM(P14*0.5)</f>
        <v>1576435159.5804</v>
      </c>
      <c r="L14" s="264">
        <f>SUM(P14*0.7)</f>
        <v>2207009223.41256</v>
      </c>
      <c r="M14" s="264"/>
      <c r="N14" s="264">
        <f>SUM(P14*0.9)</f>
        <v>2837583287.24472</v>
      </c>
      <c r="O14" s="264"/>
      <c r="P14" s="264">
        <v>3152870319.1608</v>
      </c>
      <c r="Q14" s="264"/>
      <c r="R14" s="264">
        <f>+P14</f>
        <v>3152870319.1608</v>
      </c>
      <c r="S14" s="264"/>
      <c r="T14" s="264">
        <f>+R14</f>
        <v>3152870319.1608</v>
      </c>
      <c r="U14" s="264"/>
      <c r="V14" s="264">
        <f>+T14</f>
        <v>3152870319.1608</v>
      </c>
    </row>
    <row r="15" spans="2:22" ht="12.75">
      <c r="B15" t="s">
        <v>909</v>
      </c>
      <c r="D15" s="278">
        <v>3500000</v>
      </c>
      <c r="E15" s="277"/>
      <c r="F15" s="278">
        <v>0</v>
      </c>
      <c r="G15" s="277"/>
      <c r="H15" s="279">
        <v>3000000000</v>
      </c>
      <c r="I15" s="277"/>
      <c r="J15" s="18"/>
      <c r="L15" s="279">
        <v>0</v>
      </c>
      <c r="M15" s="264"/>
      <c r="N15" s="279">
        <v>0</v>
      </c>
      <c r="O15" s="264"/>
      <c r="P15" s="279">
        <v>0</v>
      </c>
      <c r="Q15" s="264"/>
      <c r="R15" s="279">
        <v>0</v>
      </c>
      <c r="S15" s="264"/>
      <c r="T15" s="279">
        <v>0</v>
      </c>
      <c r="U15" s="264"/>
      <c r="V15" s="279">
        <v>0</v>
      </c>
    </row>
    <row r="16" spans="4:22" ht="4.5" customHeight="1">
      <c r="D16" s="277"/>
      <c r="E16" s="277"/>
      <c r="F16" s="277"/>
      <c r="G16" s="277"/>
      <c r="H16" s="277"/>
      <c r="I16" s="277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</row>
    <row r="17" spans="2:22" s="18" customFormat="1" ht="12.75">
      <c r="B17" s="318" t="s">
        <v>631</v>
      </c>
      <c r="D17" s="279">
        <f>SUM(D14:D16)</f>
        <v>5000000</v>
      </c>
      <c r="E17" s="316"/>
      <c r="F17" s="279">
        <f>SUM(F14:F16)</f>
        <v>20000000</v>
      </c>
      <c r="G17" s="316"/>
      <c r="H17" s="279">
        <f>SUM(H14:H16)</f>
        <v>3080000000</v>
      </c>
      <c r="I17" s="316"/>
      <c r="J17" s="279">
        <f>SUM(J14:J16)</f>
        <v>1576435159.5804</v>
      </c>
      <c r="L17" s="279">
        <f>SUM(L14:L16)</f>
        <v>2207009223.41256</v>
      </c>
      <c r="M17" s="279"/>
      <c r="N17" s="279">
        <f>SUM(N14:N16)</f>
        <v>2837583287.24472</v>
      </c>
      <c r="O17" s="279"/>
      <c r="P17" s="279">
        <f>SUM(P14:P16)</f>
        <v>3152870319.1608</v>
      </c>
      <c r="Q17" s="279"/>
      <c r="R17" s="279">
        <f>SUM(R14:R16)</f>
        <v>3152870319.1608</v>
      </c>
      <c r="S17" s="279"/>
      <c r="T17" s="279">
        <f>SUM(T14:T16)</f>
        <v>3152870319.1608</v>
      </c>
      <c r="U17" s="279"/>
      <c r="V17" s="279">
        <f>SUM(V14:V16)</f>
        <v>3152870319.1608</v>
      </c>
    </row>
    <row r="18" spans="12:22" ht="12.75"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</row>
    <row r="19" spans="2:22" ht="12.75">
      <c r="B19" s="281" t="s">
        <v>632</v>
      </c>
      <c r="C19" s="81"/>
      <c r="D19" s="280">
        <v>0</v>
      </c>
      <c r="E19" s="280"/>
      <c r="F19" s="280">
        <v>1000000</v>
      </c>
      <c r="G19" s="280"/>
      <c r="H19" s="280">
        <v>80000000</v>
      </c>
      <c r="J19" s="282">
        <v>2500000000</v>
      </c>
      <c r="K19" s="282"/>
      <c r="L19" s="283">
        <v>0</v>
      </c>
      <c r="M19" s="283"/>
      <c r="N19" s="283">
        <v>0</v>
      </c>
      <c r="O19" s="283"/>
      <c r="P19" s="283">
        <v>0</v>
      </c>
      <c r="Q19" s="283"/>
      <c r="R19" s="283">
        <v>0</v>
      </c>
      <c r="S19" s="283"/>
      <c r="T19" s="283">
        <v>0</v>
      </c>
      <c r="U19" s="264"/>
      <c r="V19" s="264">
        <v>0</v>
      </c>
    </row>
    <row r="20" spans="2:22" ht="12.75">
      <c r="B20" s="41" t="s">
        <v>633</v>
      </c>
      <c r="D20" s="280">
        <v>400000</v>
      </c>
      <c r="E20" s="81"/>
      <c r="F20" s="280">
        <v>10000000</v>
      </c>
      <c r="G20" s="280"/>
      <c r="H20" s="280">
        <v>10000000</v>
      </c>
      <c r="I20" s="264"/>
      <c r="J20" s="282">
        <v>0</v>
      </c>
      <c r="K20" s="282"/>
      <c r="L20" s="283">
        <v>0</v>
      </c>
      <c r="M20" s="283"/>
      <c r="N20" s="283">
        <v>0</v>
      </c>
      <c r="O20" s="283"/>
      <c r="P20" s="283">
        <v>0</v>
      </c>
      <c r="Q20" s="283"/>
      <c r="R20" s="283">
        <v>0</v>
      </c>
      <c r="S20" s="283"/>
      <c r="T20" s="283">
        <v>0</v>
      </c>
      <c r="U20" s="264"/>
      <c r="V20" s="264">
        <v>0</v>
      </c>
    </row>
    <row r="21" spans="2:22" ht="12.75">
      <c r="B21" s="41" t="s">
        <v>959</v>
      </c>
      <c r="D21" s="280">
        <v>3000000</v>
      </c>
      <c r="E21" s="81"/>
      <c r="F21" s="280">
        <v>1000000</v>
      </c>
      <c r="G21" s="280"/>
      <c r="H21" s="280"/>
      <c r="I21" s="264"/>
      <c r="J21" s="282"/>
      <c r="K21" s="282"/>
      <c r="L21" s="283"/>
      <c r="M21" s="283"/>
      <c r="N21" s="283"/>
      <c r="O21" s="283"/>
      <c r="P21" s="283"/>
      <c r="Q21" s="283"/>
      <c r="R21" s="283"/>
      <c r="S21" s="283"/>
      <c r="T21" s="283"/>
      <c r="U21" s="264"/>
      <c r="V21" s="264"/>
    </row>
    <row r="22" spans="2:22" ht="12.75">
      <c r="B22" s="41" t="s">
        <v>634</v>
      </c>
      <c r="D22" s="279">
        <v>0</v>
      </c>
      <c r="F22" s="279">
        <v>0</v>
      </c>
      <c r="G22" s="264"/>
      <c r="H22" s="279">
        <v>0</v>
      </c>
      <c r="I22" s="264"/>
      <c r="J22" s="284">
        <v>1000000</v>
      </c>
      <c r="K22" s="282"/>
      <c r="L22" s="284">
        <v>2000000</v>
      </c>
      <c r="M22" s="283"/>
      <c r="N22" s="284">
        <f>+L22</f>
        <v>2000000</v>
      </c>
      <c r="O22" s="283"/>
      <c r="P22" s="284">
        <f>+N22</f>
        <v>2000000</v>
      </c>
      <c r="Q22" s="283"/>
      <c r="R22" s="284">
        <f>+P22</f>
        <v>2000000</v>
      </c>
      <c r="S22" s="283"/>
      <c r="T22" s="284">
        <v>1000000</v>
      </c>
      <c r="U22" s="264"/>
      <c r="V22" s="279">
        <v>1000000</v>
      </c>
    </row>
    <row r="23" spans="2:22" ht="12.75">
      <c r="B23" s="41"/>
      <c r="D23" s="280"/>
      <c r="F23" s="280"/>
      <c r="G23" s="264"/>
      <c r="H23" s="280"/>
      <c r="I23" s="264"/>
      <c r="J23" s="282"/>
      <c r="K23" s="282"/>
      <c r="L23" s="283"/>
      <c r="M23" s="283"/>
      <c r="N23" s="283"/>
      <c r="O23" s="283"/>
      <c r="P23" s="283"/>
      <c r="Q23" s="283"/>
      <c r="R23" s="283"/>
      <c r="S23" s="283"/>
      <c r="T23" s="283"/>
      <c r="U23" s="264"/>
      <c r="V23" s="264"/>
    </row>
    <row r="24" spans="2:22" s="18" customFormat="1" ht="12.75">
      <c r="B24" s="318" t="s">
        <v>958</v>
      </c>
      <c r="D24" s="279">
        <f>SUM(D19:D23)</f>
        <v>3400000</v>
      </c>
      <c r="E24" s="279">
        <f aca="true" t="shared" si="0" ref="E24:V24">SUM(E19:E23)</f>
        <v>0</v>
      </c>
      <c r="F24" s="279">
        <f t="shared" si="0"/>
        <v>12000000</v>
      </c>
      <c r="G24" s="279">
        <f t="shared" si="0"/>
        <v>0</v>
      </c>
      <c r="H24" s="279">
        <f t="shared" si="0"/>
        <v>90000000</v>
      </c>
      <c r="I24" s="279">
        <f t="shared" si="0"/>
        <v>0</v>
      </c>
      <c r="J24" s="279">
        <f t="shared" si="0"/>
        <v>2501000000</v>
      </c>
      <c r="K24" s="279">
        <f t="shared" si="0"/>
        <v>0</v>
      </c>
      <c r="L24" s="279">
        <f t="shared" si="0"/>
        <v>2000000</v>
      </c>
      <c r="M24" s="279">
        <f t="shared" si="0"/>
        <v>0</v>
      </c>
      <c r="N24" s="279">
        <f t="shared" si="0"/>
        <v>2000000</v>
      </c>
      <c r="O24" s="279">
        <f t="shared" si="0"/>
        <v>0</v>
      </c>
      <c r="P24" s="279">
        <f t="shared" si="0"/>
        <v>2000000</v>
      </c>
      <c r="Q24" s="279">
        <f t="shared" si="0"/>
        <v>0</v>
      </c>
      <c r="R24" s="279">
        <f t="shared" si="0"/>
        <v>2000000</v>
      </c>
      <c r="S24" s="279">
        <f t="shared" si="0"/>
        <v>0</v>
      </c>
      <c r="T24" s="279">
        <f t="shared" si="0"/>
        <v>1000000</v>
      </c>
      <c r="U24" s="279">
        <f t="shared" si="0"/>
        <v>0</v>
      </c>
      <c r="V24" s="279">
        <f t="shared" si="0"/>
        <v>1000000</v>
      </c>
    </row>
    <row r="25" spans="2:22" ht="12.75">
      <c r="B25" s="41"/>
      <c r="D25" s="264"/>
      <c r="E25" s="264"/>
      <c r="F25" s="264"/>
      <c r="G25" s="264"/>
      <c r="H25" s="264"/>
      <c r="I25" s="264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64"/>
      <c r="V25" s="264"/>
    </row>
    <row r="26" spans="2:22" s="18" customFormat="1" ht="15" customHeight="1">
      <c r="B26" s="318" t="s">
        <v>957</v>
      </c>
      <c r="F26" s="316">
        <f>SUM(D68)</f>
        <v>-656388</v>
      </c>
      <c r="H26" s="316">
        <f>SUM(F68)</f>
        <v>4351831</v>
      </c>
      <c r="J26" s="316">
        <f>SUM(H68)</f>
        <v>2988376101.09</v>
      </c>
      <c r="L26" s="316">
        <f>SUM(J68)</f>
        <v>2054484848.27355</v>
      </c>
      <c r="N26" s="316">
        <f>SUM(L68)</f>
        <v>4246543561.94537</v>
      </c>
      <c r="P26" s="316">
        <f>SUM(N68)</f>
        <v>7062930124.743424</v>
      </c>
      <c r="R26" s="316">
        <f>SUM(P68)</f>
        <v>10184987351.304426</v>
      </c>
      <c r="T26" s="316">
        <f>SUM(R68)</f>
        <v>13305267930.940683</v>
      </c>
      <c r="V26" s="316">
        <f>SUM(T68)</f>
        <v>16424394815.325644</v>
      </c>
    </row>
    <row r="27" spans="2:22" ht="12.75">
      <c r="B27" s="41" t="s">
        <v>635</v>
      </c>
      <c r="D27" s="264">
        <f>+D17-D24</f>
        <v>1600000</v>
      </c>
      <c r="E27" s="264"/>
      <c r="F27" s="264">
        <f>+F17-F24+F26</f>
        <v>7343612</v>
      </c>
      <c r="G27" s="264"/>
      <c r="H27" s="264">
        <f>+H17-H24+H26</f>
        <v>2994351831</v>
      </c>
      <c r="I27" s="264"/>
      <c r="J27" s="283">
        <f>+J17-J24+J26</f>
        <v>2063811260.6704001</v>
      </c>
      <c r="K27" s="282"/>
      <c r="L27" s="283">
        <f>+L17-L24+L26</f>
        <v>4259494071.68611</v>
      </c>
      <c r="M27" s="283"/>
      <c r="N27" s="283">
        <f>+N17-N24+N26</f>
        <v>7082126849.19009</v>
      </c>
      <c r="O27" s="283"/>
      <c r="P27" s="283">
        <f>+P17-P24+P26</f>
        <v>10213800443.904224</v>
      </c>
      <c r="Q27" s="283"/>
      <c r="R27" s="283">
        <f>+R17-R24+R26</f>
        <v>13335857670.465225</v>
      </c>
      <c r="S27" s="283"/>
      <c r="T27" s="283">
        <f>+T17-T24+T26</f>
        <v>16457138250.101482</v>
      </c>
      <c r="U27" s="283">
        <f>+U17-U24</f>
        <v>0</v>
      </c>
      <c r="V27" s="283">
        <f>+V17-V24+V26</f>
        <v>19576265134.486443</v>
      </c>
    </row>
    <row r="28" spans="10:22" ht="12.75">
      <c r="J28" s="282"/>
      <c r="K28" s="282"/>
      <c r="L28" s="283"/>
      <c r="M28" s="283"/>
      <c r="N28" s="283"/>
      <c r="O28" s="283"/>
      <c r="P28" s="283"/>
      <c r="Q28" s="283"/>
      <c r="R28" s="283"/>
      <c r="S28" s="283"/>
      <c r="T28" s="283"/>
      <c r="U28" s="264"/>
      <c r="V28" s="264"/>
    </row>
    <row r="29" spans="2:22" ht="12.75">
      <c r="B29" s="41" t="s">
        <v>636</v>
      </c>
      <c r="J29" s="282"/>
      <c r="K29" s="282"/>
      <c r="L29" s="283"/>
      <c r="M29" s="283"/>
      <c r="N29" s="283"/>
      <c r="O29" s="283"/>
      <c r="P29" s="283"/>
      <c r="Q29" s="283"/>
      <c r="R29" s="283"/>
      <c r="S29" s="283"/>
      <c r="T29" s="283"/>
      <c r="U29" s="264"/>
      <c r="V29" s="264"/>
    </row>
    <row r="30" spans="2:22" ht="12.75">
      <c r="B30" t="s">
        <v>637</v>
      </c>
      <c r="D30" s="264">
        <f>'First Year Simplified Budget'!$E$17</f>
        <v>1752000</v>
      </c>
      <c r="F30" s="264">
        <v>2670000</v>
      </c>
      <c r="G30" s="264"/>
      <c r="H30" s="264">
        <v>5224000</v>
      </c>
      <c r="I30" s="264"/>
      <c r="J30" s="283">
        <f>+H30*1.5</f>
        <v>7836000</v>
      </c>
      <c r="K30" s="283"/>
      <c r="L30" s="283">
        <f>+J30*1.5</f>
        <v>11754000</v>
      </c>
      <c r="M30" s="283"/>
      <c r="N30" s="283">
        <f>+L30*1.5</f>
        <v>17631000</v>
      </c>
      <c r="O30" s="283"/>
      <c r="P30" s="283">
        <f>+N30*1.5</f>
        <v>26446500</v>
      </c>
      <c r="Q30" s="283"/>
      <c r="R30" s="283">
        <f>+P30*1.05</f>
        <v>27768825</v>
      </c>
      <c r="S30" s="283"/>
      <c r="T30" s="283">
        <f>+R30*1.05</f>
        <v>29157266.25</v>
      </c>
      <c r="U30" s="264"/>
      <c r="V30" s="283">
        <f>+T30*1.05</f>
        <v>30615129.5625</v>
      </c>
    </row>
    <row r="31" spans="2:22" ht="12.75">
      <c r="B31" t="s">
        <v>638</v>
      </c>
      <c r="D31" s="264">
        <f>+D30*0.0765</f>
        <v>134028</v>
      </c>
      <c r="F31" s="264">
        <f>+F30*0.0765</f>
        <v>204255</v>
      </c>
      <c r="G31" s="264"/>
      <c r="H31" s="264">
        <f>+H30*0.0765</f>
        <v>399636</v>
      </c>
      <c r="I31" s="264"/>
      <c r="J31" s="283">
        <f>+J30*0.0765</f>
        <v>599454</v>
      </c>
      <c r="K31" s="283"/>
      <c r="L31" s="283">
        <f>+L30*0.0765</f>
        <v>899181</v>
      </c>
      <c r="M31" s="283"/>
      <c r="N31" s="283">
        <f>+N30*0.0765</f>
        <v>1348771.5</v>
      </c>
      <c r="O31" s="283"/>
      <c r="P31" s="283">
        <f>+P30*0.0765</f>
        <v>2023157.25</v>
      </c>
      <c r="Q31" s="283"/>
      <c r="R31" s="283">
        <f>+R30*0.0765</f>
        <v>2124315.1125</v>
      </c>
      <c r="S31" s="283"/>
      <c r="T31" s="283">
        <f>+T30*0.0765</f>
        <v>2230530.868125</v>
      </c>
      <c r="U31" s="264"/>
      <c r="V31" s="283">
        <f>+V30*0.0765</f>
        <v>2342057.41153125</v>
      </c>
    </row>
    <row r="32" spans="2:22" ht="12.75">
      <c r="B32" t="s">
        <v>639</v>
      </c>
      <c r="D32" s="264">
        <f>+D30*0.07</f>
        <v>122640.00000000001</v>
      </c>
      <c r="F32" s="264">
        <f>+F30*0.07</f>
        <v>186900.00000000003</v>
      </c>
      <c r="G32" s="264"/>
      <c r="H32" s="264">
        <f>+H30*0.07</f>
        <v>365680.00000000006</v>
      </c>
      <c r="I32" s="264"/>
      <c r="J32" s="283">
        <f>+J30*0.07</f>
        <v>548520</v>
      </c>
      <c r="K32" s="283"/>
      <c r="L32" s="283">
        <f>+L30*0.07</f>
        <v>822780.0000000001</v>
      </c>
      <c r="M32" s="283"/>
      <c r="N32" s="283">
        <f>+N30*0.07</f>
        <v>1234170.0000000002</v>
      </c>
      <c r="O32" s="283"/>
      <c r="P32" s="283">
        <f>+P30*0.07</f>
        <v>1851255.0000000002</v>
      </c>
      <c r="Q32" s="283"/>
      <c r="R32" s="283">
        <f>+R30*0.07</f>
        <v>1943817.7500000002</v>
      </c>
      <c r="S32" s="283"/>
      <c r="T32" s="283">
        <f>+T30*0.07</f>
        <v>2041008.6375000002</v>
      </c>
      <c r="U32" s="264"/>
      <c r="V32" s="283">
        <f>+V30*0.07</f>
        <v>2143059.0693750004</v>
      </c>
    </row>
    <row r="33" spans="2:22" ht="12.75">
      <c r="B33" t="s">
        <v>640</v>
      </c>
      <c r="D33" s="264">
        <f>SUM(D30*0.01)</f>
        <v>17520</v>
      </c>
      <c r="F33" s="264">
        <f>SUM(F30*0.01)</f>
        <v>26700</v>
      </c>
      <c r="G33" s="264"/>
      <c r="H33" s="264">
        <f>+F33*1.035</f>
        <v>27634.499999999996</v>
      </c>
      <c r="I33" s="264"/>
      <c r="J33" s="283">
        <f>+H33*1.035</f>
        <v>28601.707499999993</v>
      </c>
      <c r="K33" s="283"/>
      <c r="L33" s="283">
        <f>+J33*1.035</f>
        <v>29602.76726249999</v>
      </c>
      <c r="M33" s="283"/>
      <c r="N33" s="283">
        <f>+L33*1.035</f>
        <v>30638.864116687488</v>
      </c>
      <c r="O33" s="283"/>
      <c r="P33" s="283">
        <f>+N33*1.035</f>
        <v>31711.224360771546</v>
      </c>
      <c r="Q33" s="283"/>
      <c r="R33" s="283">
        <f>+P33*1.035</f>
        <v>32821.117213398546</v>
      </c>
      <c r="S33" s="283"/>
      <c r="T33" s="283">
        <f>+R33*1.035</f>
        <v>33969.856315867495</v>
      </c>
      <c r="U33" s="264"/>
      <c r="V33" s="283">
        <f>+T33*1.035</f>
        <v>35158.801286922855</v>
      </c>
    </row>
    <row r="34" spans="4:22" ht="12.75">
      <c r="D34" s="264"/>
      <c r="F34" s="264"/>
      <c r="G34" s="264"/>
      <c r="H34" s="264"/>
      <c r="I34" s="264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64"/>
      <c r="V34" s="283"/>
    </row>
    <row r="35" spans="2:22" ht="12.75">
      <c r="B35" t="s">
        <v>641</v>
      </c>
      <c r="D35" s="264">
        <v>36000</v>
      </c>
      <c r="F35" s="264">
        <v>600000</v>
      </c>
      <c r="G35" s="264"/>
      <c r="H35" s="264">
        <f>+F35*1.035</f>
        <v>621000</v>
      </c>
      <c r="I35" s="264"/>
      <c r="J35" s="283">
        <f>+H35*1.035</f>
        <v>642735</v>
      </c>
      <c r="K35" s="283"/>
      <c r="L35" s="283">
        <f>+J35*1.035</f>
        <v>665230.725</v>
      </c>
      <c r="M35" s="283"/>
      <c r="N35" s="283">
        <f>+L35*1.035</f>
        <v>688513.8003749999</v>
      </c>
      <c r="O35" s="283"/>
      <c r="P35" s="283">
        <f>+N35*1.035</f>
        <v>712611.7833881248</v>
      </c>
      <c r="Q35" s="283"/>
      <c r="R35" s="283">
        <f>+P35*1.035</f>
        <v>737553.1958067091</v>
      </c>
      <c r="S35" s="283"/>
      <c r="T35" s="283">
        <f>+R35*1.035</f>
        <v>763367.5576599438</v>
      </c>
      <c r="U35" s="264"/>
      <c r="V35" s="283">
        <f>+T35*1.035</f>
        <v>790085.4221780418</v>
      </c>
    </row>
    <row r="36" spans="2:22" ht="12.75">
      <c r="B36" t="s">
        <v>642</v>
      </c>
      <c r="D36" s="264">
        <v>10000</v>
      </c>
      <c r="F36" s="264">
        <f>+D36*1.035</f>
        <v>10350</v>
      </c>
      <c r="G36" s="264"/>
      <c r="H36" s="264">
        <f>+F36*1.035</f>
        <v>10712.25</v>
      </c>
      <c r="I36" s="264"/>
      <c r="J36" s="283">
        <f>+H36*1.035</f>
        <v>11087.17875</v>
      </c>
      <c r="K36" s="283"/>
      <c r="L36" s="283">
        <f>+J36*1.035</f>
        <v>11475.230006249998</v>
      </c>
      <c r="M36" s="283"/>
      <c r="N36" s="283">
        <f>+L36*1.035</f>
        <v>11876.863056468746</v>
      </c>
      <c r="O36" s="283"/>
      <c r="P36" s="283">
        <f>+N36*1.035</f>
        <v>12292.553263445152</v>
      </c>
      <c r="Q36" s="283"/>
      <c r="R36" s="283">
        <f>+P36*1.035</f>
        <v>12722.79262766573</v>
      </c>
      <c r="S36" s="283"/>
      <c r="T36" s="283">
        <f>+R36*1.035</f>
        <v>13168.09036963403</v>
      </c>
      <c r="U36" s="264"/>
      <c r="V36" s="283">
        <f>+T36*1.035</f>
        <v>13628.97353257122</v>
      </c>
    </row>
    <row r="37" spans="2:22" ht="12.75">
      <c r="B37" t="s">
        <v>643</v>
      </c>
      <c r="D37" s="264">
        <f>'First Year Simplified Budget'!$E$32</f>
        <v>24000</v>
      </c>
      <c r="F37" s="264">
        <f>+D37*1.035</f>
        <v>24839.999999999996</v>
      </c>
      <c r="G37" s="264"/>
      <c r="H37" s="264">
        <f>+F37*1.035</f>
        <v>25709.399999999994</v>
      </c>
      <c r="I37" s="264"/>
      <c r="J37" s="283">
        <f>+H37*1.035</f>
        <v>26609.228999999992</v>
      </c>
      <c r="K37" s="283"/>
      <c r="L37" s="283">
        <f>+J37*1.035</f>
        <v>27540.55201499999</v>
      </c>
      <c r="M37" s="283"/>
      <c r="N37" s="283">
        <f>+L37*1.035</f>
        <v>28504.471335524988</v>
      </c>
      <c r="O37" s="283"/>
      <c r="P37" s="283">
        <f>+N37*1.035</f>
        <v>29502.12783226836</v>
      </c>
      <c r="Q37" s="283"/>
      <c r="R37" s="283">
        <f>+P37*1.035</f>
        <v>30534.70230639775</v>
      </c>
      <c r="S37" s="283"/>
      <c r="T37" s="283">
        <f>+R37*1.035</f>
        <v>31603.416887121668</v>
      </c>
      <c r="U37" s="264"/>
      <c r="V37" s="283">
        <f>+T37*1.035</f>
        <v>32709.536478170925</v>
      </c>
    </row>
    <row r="38" spans="2:22" ht="12.75">
      <c r="B38" t="s">
        <v>644</v>
      </c>
      <c r="D38" s="264">
        <f>'First Year Simplified Budget'!$E$36</f>
        <v>9600</v>
      </c>
      <c r="F38" s="264">
        <f>+D38*1.035</f>
        <v>9936</v>
      </c>
      <c r="G38" s="264"/>
      <c r="H38" s="264">
        <f>+F38*1.035</f>
        <v>10283.759999999998</v>
      </c>
      <c r="I38" s="264"/>
      <c r="J38" s="283">
        <f>+H38*1.035</f>
        <v>10643.691599999998</v>
      </c>
      <c r="K38" s="283"/>
      <c r="L38" s="283">
        <f>+J38*1.035</f>
        <v>11016.220805999998</v>
      </c>
      <c r="M38" s="283"/>
      <c r="N38" s="283">
        <f>+L38*1.035</f>
        <v>11401.788534209996</v>
      </c>
      <c r="O38" s="283"/>
      <c r="P38" s="283">
        <f>+N38*1.035</f>
        <v>11800.851132907344</v>
      </c>
      <c r="Q38" s="283"/>
      <c r="R38" s="283">
        <f>+P38*1.035</f>
        <v>12213.880922559101</v>
      </c>
      <c r="S38" s="283"/>
      <c r="T38" s="283">
        <f>+R38*1.035</f>
        <v>12641.366754848668</v>
      </c>
      <c r="U38" s="264"/>
      <c r="V38" s="283">
        <f>+T38*1.035</f>
        <v>13083.81459126837</v>
      </c>
    </row>
    <row r="39" spans="2:22" ht="12.75">
      <c r="B39" t="s">
        <v>645</v>
      </c>
      <c r="D39" s="264">
        <f>'First Year Simplified Budget'!$E$25</f>
        <v>24000</v>
      </c>
      <c r="F39" s="264">
        <f>+D39*1.035</f>
        <v>24839.999999999996</v>
      </c>
      <c r="G39" s="264"/>
      <c r="H39" s="264">
        <f>+F39*1.035</f>
        <v>25709.399999999994</v>
      </c>
      <c r="I39" s="264"/>
      <c r="J39" s="283">
        <f>+H39*1.035</f>
        <v>26609.228999999992</v>
      </c>
      <c r="K39" s="283"/>
      <c r="L39" s="283">
        <f>+J39*1.035</f>
        <v>27540.55201499999</v>
      </c>
      <c r="M39" s="283"/>
      <c r="N39" s="283">
        <f>+L39*1.035</f>
        <v>28504.471335524988</v>
      </c>
      <c r="O39" s="283"/>
      <c r="P39" s="283">
        <f>+N39*1.035</f>
        <v>29502.12783226836</v>
      </c>
      <c r="Q39" s="283"/>
      <c r="R39" s="283">
        <f>+P39*1.035</f>
        <v>30534.70230639775</v>
      </c>
      <c r="S39" s="283"/>
      <c r="T39" s="283">
        <f>+R39*1.035</f>
        <v>31603.416887121668</v>
      </c>
      <c r="U39" s="264"/>
      <c r="V39" s="283">
        <f>+T39*1.035</f>
        <v>32709.536478170925</v>
      </c>
    </row>
    <row r="40" spans="4:22" ht="12.75">
      <c r="D40" s="264"/>
      <c r="F40" s="264"/>
      <c r="G40" s="264"/>
      <c r="H40" s="264"/>
      <c r="I40" s="264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64"/>
      <c r="V40" s="283"/>
    </row>
    <row r="41" spans="2:22" ht="12.75">
      <c r="B41" t="s">
        <v>646</v>
      </c>
      <c r="D41" s="264">
        <v>30000</v>
      </c>
      <c r="F41" s="264">
        <v>40000</v>
      </c>
      <c r="G41" s="264"/>
      <c r="H41" s="264">
        <f>+F41*1.035</f>
        <v>41400</v>
      </c>
      <c r="I41" s="264"/>
      <c r="J41" s="283">
        <f>+H41*1.035</f>
        <v>42849</v>
      </c>
      <c r="K41" s="283"/>
      <c r="L41" s="283">
        <f>+J41*1.035</f>
        <v>44348.715</v>
      </c>
      <c r="M41" s="283"/>
      <c r="N41" s="283">
        <f>+L41*1.035</f>
        <v>45900.92002499999</v>
      </c>
      <c r="O41" s="283"/>
      <c r="P41" s="283">
        <f>+N41*1.035</f>
        <v>47507.452225874986</v>
      </c>
      <c r="Q41" s="283"/>
      <c r="R41" s="283">
        <f>+P41*1.035</f>
        <v>49170.21305378061</v>
      </c>
      <c r="S41" s="283"/>
      <c r="T41" s="283">
        <f>+R41*1.035</f>
        <v>50891.17051066292</v>
      </c>
      <c r="U41" s="264"/>
      <c r="V41" s="283">
        <f>+T41*1.035</f>
        <v>52672.36147853612</v>
      </c>
    </row>
    <row r="42" spans="2:22" ht="12.75">
      <c r="B42" t="s">
        <v>647</v>
      </c>
      <c r="D42" s="264">
        <v>2500</v>
      </c>
      <c r="F42" s="264">
        <v>5000</v>
      </c>
      <c r="G42" s="264"/>
      <c r="H42" s="264">
        <f>+F42*1.035</f>
        <v>5175</v>
      </c>
      <c r="I42" s="264"/>
      <c r="J42" s="283">
        <f>+H42*1.035</f>
        <v>5356.125</v>
      </c>
      <c r="K42" s="283"/>
      <c r="L42" s="283">
        <f>+J42*1.035</f>
        <v>5543.589375</v>
      </c>
      <c r="M42" s="283"/>
      <c r="N42" s="283">
        <f>+L42*1.035</f>
        <v>5737.615003124999</v>
      </c>
      <c r="O42" s="283"/>
      <c r="P42" s="283">
        <f>+N42*1.035</f>
        <v>5938.431528234373</v>
      </c>
      <c r="Q42" s="283"/>
      <c r="R42" s="283">
        <f>+P42*1.035</f>
        <v>6146.276631722576</v>
      </c>
      <c r="S42" s="283"/>
      <c r="T42" s="283">
        <f>+R42*1.035</f>
        <v>6361.396313832865</v>
      </c>
      <c r="U42" s="264"/>
      <c r="V42" s="283">
        <f>+T42*1.035</f>
        <v>6584.045184817015</v>
      </c>
    </row>
    <row r="43" spans="2:22" ht="12.75">
      <c r="B43" t="s">
        <v>648</v>
      </c>
      <c r="D43" s="264">
        <v>25000</v>
      </c>
      <c r="F43" s="264">
        <v>35000</v>
      </c>
      <c r="G43" s="264"/>
      <c r="H43" s="264">
        <f>+F43*1.035</f>
        <v>36225</v>
      </c>
      <c r="I43" s="264"/>
      <c r="J43" s="283">
        <f>+H43*1.035</f>
        <v>37492.875</v>
      </c>
      <c r="K43" s="283"/>
      <c r="L43" s="283">
        <f>+J43*1.035</f>
        <v>38805.125625</v>
      </c>
      <c r="M43" s="283"/>
      <c r="N43" s="283">
        <f>+L43*1.035</f>
        <v>40163.305021875</v>
      </c>
      <c r="O43" s="283"/>
      <c r="P43" s="283">
        <f>+N43*1.035</f>
        <v>41569.02069764062</v>
      </c>
      <c r="Q43" s="283"/>
      <c r="R43" s="283">
        <f>+P43*1.035</f>
        <v>43023.93642205804</v>
      </c>
      <c r="S43" s="283"/>
      <c r="T43" s="283">
        <f>+R43*1.035</f>
        <v>44529.77419683007</v>
      </c>
      <c r="U43" s="264"/>
      <c r="V43" s="283">
        <f>+T43*1.035</f>
        <v>46088.316293719115</v>
      </c>
    </row>
    <row r="44" spans="2:22" ht="12.75">
      <c r="B44" t="s">
        <v>649</v>
      </c>
      <c r="D44" s="264">
        <v>35000</v>
      </c>
      <c r="F44" s="264">
        <v>40000</v>
      </c>
      <c r="G44" s="264"/>
      <c r="H44" s="264">
        <f>+F44*1.035</f>
        <v>41400</v>
      </c>
      <c r="I44" s="264"/>
      <c r="J44" s="283">
        <f>+H44*1.035</f>
        <v>42849</v>
      </c>
      <c r="K44" s="283"/>
      <c r="L44" s="283">
        <f>+J44*1.035</f>
        <v>44348.715</v>
      </c>
      <c r="M44" s="283"/>
      <c r="N44" s="283">
        <f>+L44*1.035</f>
        <v>45900.92002499999</v>
      </c>
      <c r="O44" s="283"/>
      <c r="P44" s="283">
        <f>+N44*1.035</f>
        <v>47507.452225874986</v>
      </c>
      <c r="Q44" s="283"/>
      <c r="R44" s="283">
        <f>+P44*1.035</f>
        <v>49170.21305378061</v>
      </c>
      <c r="S44" s="283"/>
      <c r="T44" s="283">
        <f>+R44*1.035</f>
        <v>50891.17051066292</v>
      </c>
      <c r="U44" s="264"/>
      <c r="V44" s="283">
        <f>+T44*1.035</f>
        <v>52672.36147853612</v>
      </c>
    </row>
    <row r="45" spans="2:22" ht="12.75">
      <c r="B45" t="s">
        <v>1</v>
      </c>
      <c r="D45" s="264"/>
      <c r="F45" s="264"/>
      <c r="G45" s="264"/>
      <c r="H45" s="264"/>
      <c r="I45" s="264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64"/>
      <c r="V45" s="283"/>
    </row>
    <row r="46" spans="2:22" ht="12.75">
      <c r="B46" t="s">
        <v>650</v>
      </c>
      <c r="D46" s="264">
        <f>'First Year Simplified Budget'!$E$33</f>
        <v>9600</v>
      </c>
      <c r="F46" s="264">
        <f>+D46*1.1</f>
        <v>10560</v>
      </c>
      <c r="G46" s="264"/>
      <c r="H46" s="264">
        <f>+F46*1.035</f>
        <v>10929.599999999999</v>
      </c>
      <c r="I46" s="264"/>
      <c r="J46" s="283">
        <f>+H46*1.035</f>
        <v>11312.135999999997</v>
      </c>
      <c r="K46" s="283"/>
      <c r="L46" s="283">
        <f>+J46*1.035</f>
        <v>11708.060759999997</v>
      </c>
      <c r="M46" s="283"/>
      <c r="N46" s="283">
        <f>+L46*1.035</f>
        <v>12117.842886599996</v>
      </c>
      <c r="O46" s="283"/>
      <c r="P46" s="283">
        <f>+N46*1.035</f>
        <v>12541.967387630995</v>
      </c>
      <c r="Q46" s="283"/>
      <c r="R46" s="283">
        <f>+P46*1.035</f>
        <v>12980.93624619808</v>
      </c>
      <c r="S46" s="283"/>
      <c r="T46" s="283">
        <f>+R46*1.035</f>
        <v>13435.269014815012</v>
      </c>
      <c r="U46" s="264"/>
      <c r="V46" s="283">
        <f>+T46*1.035</f>
        <v>13905.503430333536</v>
      </c>
    </row>
    <row r="47" spans="2:22" ht="12.75">
      <c r="B47" t="s">
        <v>651</v>
      </c>
      <c r="D47" s="264">
        <v>10000</v>
      </c>
      <c r="F47" s="264">
        <v>10000</v>
      </c>
      <c r="G47" s="264"/>
      <c r="H47" s="264">
        <f>+F47*1.035</f>
        <v>10350</v>
      </c>
      <c r="I47" s="264"/>
      <c r="J47" s="283">
        <f>+H47*1.035</f>
        <v>10712.25</v>
      </c>
      <c r="K47" s="283"/>
      <c r="L47" s="283">
        <f>+J47*1.035</f>
        <v>11087.17875</v>
      </c>
      <c r="M47" s="283"/>
      <c r="N47" s="283">
        <f>+L47*1.035</f>
        <v>11475.230006249998</v>
      </c>
      <c r="O47" s="283"/>
      <c r="P47" s="283">
        <f>+N47*1.035</f>
        <v>11876.863056468746</v>
      </c>
      <c r="Q47" s="283"/>
      <c r="R47" s="283">
        <f>+P47*1.035</f>
        <v>12292.553263445152</v>
      </c>
      <c r="S47" s="283"/>
      <c r="T47" s="283">
        <f>+R47*1.035</f>
        <v>12722.79262766573</v>
      </c>
      <c r="U47" s="264"/>
      <c r="V47" s="283">
        <f>+T47*1.035</f>
        <v>13168.09036963403</v>
      </c>
    </row>
    <row r="48" spans="2:22" ht="12.75">
      <c r="B48" t="s">
        <v>652</v>
      </c>
      <c r="D48" s="264">
        <v>5000</v>
      </c>
      <c r="F48" s="264">
        <v>6000</v>
      </c>
      <c r="G48" s="264"/>
      <c r="H48" s="264">
        <f>+F48*1.035</f>
        <v>6209.999999999999</v>
      </c>
      <c r="I48" s="264"/>
      <c r="J48" s="283">
        <f>+H48*1.035</f>
        <v>6427.3499999999985</v>
      </c>
      <c r="K48" s="283"/>
      <c r="L48" s="283">
        <f>+J48*1.035</f>
        <v>6652.307249999998</v>
      </c>
      <c r="M48" s="283"/>
      <c r="N48" s="283">
        <f>+L48*1.035</f>
        <v>6885.138003749998</v>
      </c>
      <c r="O48" s="283"/>
      <c r="P48" s="283">
        <f>+N48*1.035</f>
        <v>7126.117833881247</v>
      </c>
      <c r="Q48" s="283"/>
      <c r="R48" s="283">
        <f>+P48*1.035</f>
        <v>7375.53195806709</v>
      </c>
      <c r="S48" s="283"/>
      <c r="T48" s="283">
        <f>+R48*1.035</f>
        <v>7633.675576599438</v>
      </c>
      <c r="U48" s="264"/>
      <c r="V48" s="283">
        <f>+T48*1.035</f>
        <v>7900.854221780417</v>
      </c>
    </row>
    <row r="49" spans="2:22" ht="12.75">
      <c r="B49" t="s">
        <v>653</v>
      </c>
      <c r="D49" s="264">
        <v>2500</v>
      </c>
      <c r="F49" s="264">
        <v>3500</v>
      </c>
      <c r="G49" s="264"/>
      <c r="H49" s="264">
        <f>+F49*1.035</f>
        <v>3622.4999999999995</v>
      </c>
      <c r="I49" s="264"/>
      <c r="J49" s="283">
        <f>+H49*1.035</f>
        <v>3749.2874999999995</v>
      </c>
      <c r="K49" s="283"/>
      <c r="L49" s="283">
        <f>+J49*1.035</f>
        <v>3880.512562499999</v>
      </c>
      <c r="M49" s="283"/>
      <c r="N49" s="283">
        <f>+L49*1.035</f>
        <v>4016.330502187499</v>
      </c>
      <c r="O49" s="283"/>
      <c r="P49" s="283">
        <f>+N49*1.035</f>
        <v>4156.902069764061</v>
      </c>
      <c r="Q49" s="283"/>
      <c r="R49" s="283">
        <f>+P49*1.035</f>
        <v>4302.393642205802</v>
      </c>
      <c r="S49" s="283"/>
      <c r="T49" s="283">
        <f>+R49*1.035</f>
        <v>4452.977419683005</v>
      </c>
      <c r="U49" s="264"/>
      <c r="V49" s="283">
        <f>+T49*1.035</f>
        <v>4608.83162937191</v>
      </c>
    </row>
    <row r="50" spans="2:22" ht="12.75">
      <c r="B50" t="s">
        <v>654</v>
      </c>
      <c r="D50" s="264">
        <v>1000</v>
      </c>
      <c r="F50" s="264">
        <v>1500</v>
      </c>
      <c r="G50" s="264"/>
      <c r="H50" s="264">
        <f>+F50*1.035</f>
        <v>1552.4999999999998</v>
      </c>
      <c r="I50" s="264"/>
      <c r="J50" s="283">
        <f>+H50*1.035</f>
        <v>1606.8374999999996</v>
      </c>
      <c r="K50" s="283"/>
      <c r="L50" s="283">
        <f>+J50*1.035</f>
        <v>1663.0768124999995</v>
      </c>
      <c r="M50" s="283"/>
      <c r="N50" s="283">
        <f>+L50*1.035</f>
        <v>1721.2845009374994</v>
      </c>
      <c r="O50" s="283"/>
      <c r="P50" s="283">
        <f>+N50*1.035</f>
        <v>1781.5294584703117</v>
      </c>
      <c r="Q50" s="283"/>
      <c r="R50" s="283">
        <f>+P50*1.035</f>
        <v>1843.8829895167726</v>
      </c>
      <c r="S50" s="283"/>
      <c r="T50" s="283">
        <f>+R50*1.035</f>
        <v>1908.4188941498594</v>
      </c>
      <c r="U50" s="264"/>
      <c r="V50" s="283">
        <f>+T50*1.035</f>
        <v>1975.2135554451042</v>
      </c>
    </row>
    <row r="51" spans="2:22" ht="12.75">
      <c r="B51" t="s">
        <v>655</v>
      </c>
      <c r="D51" s="264"/>
      <c r="F51" s="264">
        <f>+'[3]Startup Infrastructure Costs'!E32</f>
        <v>74400</v>
      </c>
      <c r="G51" s="264"/>
      <c r="H51" s="264">
        <v>100000</v>
      </c>
      <c r="I51" s="264"/>
      <c r="J51" s="283">
        <f>+H51</f>
        <v>100000</v>
      </c>
      <c r="K51" s="283"/>
      <c r="L51" s="283">
        <f>+J51</f>
        <v>100000</v>
      </c>
      <c r="M51" s="283"/>
      <c r="N51" s="283">
        <f>+L51</f>
        <v>100000</v>
      </c>
      <c r="O51" s="283"/>
      <c r="P51" s="283">
        <f>+N51</f>
        <v>100000</v>
      </c>
      <c r="Q51" s="283"/>
      <c r="R51" s="283">
        <f>+P51</f>
        <v>100000</v>
      </c>
      <c r="S51" s="283"/>
      <c r="T51" s="283">
        <f>+R51</f>
        <v>100000</v>
      </c>
      <c r="U51" s="264"/>
      <c r="V51" s="283">
        <f>+T51</f>
        <v>100000</v>
      </c>
    </row>
    <row r="52" spans="2:22" ht="12.75">
      <c r="B52" t="s">
        <v>656</v>
      </c>
      <c r="D52" s="264">
        <v>2500</v>
      </c>
      <c r="F52" s="264">
        <v>3000</v>
      </c>
      <c r="G52" s="264"/>
      <c r="H52" s="264">
        <v>3000</v>
      </c>
      <c r="I52" s="264"/>
      <c r="J52" s="283">
        <f>+H52*1.035</f>
        <v>3104.9999999999995</v>
      </c>
      <c r="K52" s="283"/>
      <c r="L52" s="283">
        <f>+J52*1.035</f>
        <v>3213.6749999999993</v>
      </c>
      <c r="M52" s="283"/>
      <c r="N52" s="283">
        <f>+L52*1.035</f>
        <v>3326.153624999999</v>
      </c>
      <c r="O52" s="283"/>
      <c r="P52" s="283">
        <f>+N52*1.035</f>
        <v>3442.569001874999</v>
      </c>
      <c r="Q52" s="283"/>
      <c r="R52" s="283">
        <f>+P52*1.035</f>
        <v>3563.0589169406235</v>
      </c>
      <c r="S52" s="283"/>
      <c r="T52" s="283">
        <f>+R52*1.035</f>
        <v>3687.765979033545</v>
      </c>
      <c r="U52" s="264"/>
      <c r="V52" s="283">
        <f>+T52*1.035</f>
        <v>3816.837788299719</v>
      </c>
    </row>
    <row r="53" spans="2:22" ht="12.75">
      <c r="B53" t="s">
        <v>657</v>
      </c>
      <c r="D53" s="279">
        <v>3500</v>
      </c>
      <c r="F53" s="279">
        <v>5000</v>
      </c>
      <c r="G53" s="264"/>
      <c r="H53" s="279">
        <v>5500</v>
      </c>
      <c r="I53" s="264"/>
      <c r="J53" s="284">
        <f>+H53*1.035</f>
        <v>5692.5</v>
      </c>
      <c r="K53" s="283"/>
      <c r="L53" s="284">
        <f>+J53*1.035</f>
        <v>5891.737499999999</v>
      </c>
      <c r="M53" s="283"/>
      <c r="N53" s="284">
        <f>+L53*1.035</f>
        <v>6097.948312499999</v>
      </c>
      <c r="O53" s="283"/>
      <c r="P53" s="284">
        <f>+N53*1.035</f>
        <v>6311.376503437498</v>
      </c>
      <c r="Q53" s="283"/>
      <c r="R53" s="284">
        <f>+P53*1.035</f>
        <v>6532.27468105781</v>
      </c>
      <c r="S53" s="283"/>
      <c r="T53" s="284">
        <f>+R53*1.035</f>
        <v>6760.904294894833</v>
      </c>
      <c r="U53" s="264"/>
      <c r="V53" s="284">
        <f>+T53*1.035</f>
        <v>6997.535945216151</v>
      </c>
    </row>
    <row r="54" spans="6:22" ht="12.75">
      <c r="F54" s="264"/>
      <c r="G54" s="264"/>
      <c r="H54" s="264"/>
      <c r="I54" s="264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64"/>
      <c r="V54" s="264"/>
    </row>
    <row r="55" spans="2:22" ht="12.75">
      <c r="B55" s="12" t="s">
        <v>658</v>
      </c>
      <c r="D55" s="285">
        <f>SUM(D30:D54)</f>
        <v>2256388</v>
      </c>
      <c r="E55" s="286"/>
      <c r="F55" s="285">
        <f>SUM(F30:F54)</f>
        <v>3991781</v>
      </c>
      <c r="H55" s="285">
        <f>SUM(H30:H54)</f>
        <v>6975729.91</v>
      </c>
      <c r="J55" s="278">
        <f>SUM(J30:J54)</f>
        <v>10001412.396850001</v>
      </c>
      <c r="K55" s="282"/>
      <c r="L55" s="284">
        <f>SUM(L30:L54)</f>
        <v>14525509.740739752</v>
      </c>
      <c r="M55" s="283"/>
      <c r="N55" s="284">
        <f>SUM(N30:N54)</f>
        <v>21296724.44666564</v>
      </c>
      <c r="O55" s="283"/>
      <c r="P55" s="284">
        <f>SUM(P30:P54)</f>
        <v>31438092.599798936</v>
      </c>
      <c r="Q55" s="283"/>
      <c r="R55" s="284">
        <f>SUM(R30:R54)</f>
        <v>32989739.524541903</v>
      </c>
      <c r="S55" s="283"/>
      <c r="T55" s="284">
        <f>SUM(T30:T54)</f>
        <v>34618434.77583836</v>
      </c>
      <c r="U55" s="284">
        <f>SUM(U30:U54)</f>
        <v>0</v>
      </c>
      <c r="V55" s="284">
        <f>SUM(V30:V54)</f>
        <v>36328012.079327084</v>
      </c>
    </row>
    <row r="56" spans="10:20" ht="12.75"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</row>
    <row r="57" spans="2:20" ht="12.75">
      <c r="B57" s="41" t="s">
        <v>659</v>
      </c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</row>
    <row r="58" spans="2:22" ht="12.75">
      <c r="B58" s="41" t="s">
        <v>660</v>
      </c>
      <c r="D58" s="247">
        <f>+D27-D55</f>
        <v>-656388</v>
      </c>
      <c r="F58" s="247">
        <f>+F27-F55</f>
        <v>3351831</v>
      </c>
      <c r="H58" s="247">
        <f>+H27-H55</f>
        <v>2987376101.09</v>
      </c>
      <c r="J58" s="282">
        <f>+J27-J55</f>
        <v>2053809848.27355</v>
      </c>
      <c r="K58" s="282"/>
      <c r="L58" s="282">
        <f>+L27-L55</f>
        <v>4244968561.94537</v>
      </c>
      <c r="M58" s="282"/>
      <c r="N58" s="282">
        <f>+N27-N55</f>
        <v>7060830124.743424</v>
      </c>
      <c r="O58" s="282"/>
      <c r="P58" s="282">
        <f>+P27-P55</f>
        <v>10182362351.304426</v>
      </c>
      <c r="Q58" s="282"/>
      <c r="R58" s="282">
        <f>+R27-R55</f>
        <v>13302867930.940683</v>
      </c>
      <c r="S58" s="282">
        <f>+S27-S55</f>
        <v>0</v>
      </c>
      <c r="T58" s="282">
        <f>+T27-T55</f>
        <v>16422519815.325644</v>
      </c>
      <c r="U58" s="282">
        <f>+U27-U55</f>
        <v>0</v>
      </c>
      <c r="V58" s="282">
        <f>+V27-V55</f>
        <v>19539937122.407116</v>
      </c>
    </row>
    <row r="59" spans="10:20" ht="12.75"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</row>
    <row r="60" spans="2:20" ht="12.75">
      <c r="B60" s="41" t="s">
        <v>661</v>
      </c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</row>
    <row r="61" spans="2:22" ht="12.75">
      <c r="B61" t="s">
        <v>662</v>
      </c>
      <c r="D61" s="279">
        <v>0</v>
      </c>
      <c r="F61" s="279">
        <v>1000000</v>
      </c>
      <c r="H61" s="278">
        <v>1000000</v>
      </c>
      <c r="J61" s="278">
        <f>(90000000/2)*0.015</f>
        <v>675000</v>
      </c>
      <c r="K61" s="282"/>
      <c r="L61" s="278">
        <f>+(105000000*0.015)</f>
        <v>1575000</v>
      </c>
      <c r="M61" s="282"/>
      <c r="N61" s="278">
        <f>140000000*0.015</f>
        <v>2100000</v>
      </c>
      <c r="O61" s="282"/>
      <c r="P61" s="278">
        <f>175000000*0.015</f>
        <v>2625000</v>
      </c>
      <c r="Q61" s="282"/>
      <c r="R61" s="278">
        <f>160000000*0.015</f>
        <v>2400000</v>
      </c>
      <c r="S61" s="282"/>
      <c r="T61" s="278">
        <f>125000000*0.015</f>
        <v>1875000</v>
      </c>
      <c r="V61" s="279">
        <f>120000000*0.015</f>
        <v>1800000</v>
      </c>
    </row>
    <row r="62" ht="2.25" customHeight="1"/>
    <row r="63" ht="12.75">
      <c r="B63" s="41" t="s">
        <v>659</v>
      </c>
    </row>
    <row r="64" spans="2:22" ht="12.75">
      <c r="B64" s="41" t="s">
        <v>663</v>
      </c>
      <c r="D64" s="287">
        <f>+D58+D61</f>
        <v>-656388</v>
      </c>
      <c r="E64" s="287"/>
      <c r="F64" s="287">
        <f>+F58+F61</f>
        <v>4351831</v>
      </c>
      <c r="G64" s="287"/>
      <c r="H64" s="287">
        <f>+H58+H61</f>
        <v>2988376101.09</v>
      </c>
      <c r="I64" s="287"/>
      <c r="J64" s="287">
        <f>+J58+J61</f>
        <v>2054484848.27355</v>
      </c>
      <c r="K64" s="287"/>
      <c r="L64" s="287">
        <f>+L58+L61</f>
        <v>4246543561.94537</v>
      </c>
      <c r="M64" s="287"/>
      <c r="N64" s="287">
        <f>+N58+N61</f>
        <v>7062930124.743424</v>
      </c>
      <c r="O64" s="282"/>
      <c r="P64" s="287">
        <f>+P58+P61</f>
        <v>10184987351.304426</v>
      </c>
      <c r="Q64" s="287"/>
      <c r="R64" s="287">
        <f>+R58+R61</f>
        <v>13305267930.940683</v>
      </c>
      <c r="S64" s="287">
        <f>+S58+S61</f>
        <v>0</v>
      </c>
      <c r="T64" s="287">
        <f>+T58+T61</f>
        <v>16424394815.325644</v>
      </c>
      <c r="U64" s="287">
        <f>+U58+U61</f>
        <v>0</v>
      </c>
      <c r="V64" s="287">
        <f>+V58+V61</f>
        <v>19541737122.407116</v>
      </c>
    </row>
    <row r="65" ht="12.75">
      <c r="B65" s="41"/>
    </row>
    <row r="66" spans="2:22" ht="12.75">
      <c r="B66" s="41" t="s">
        <v>664</v>
      </c>
      <c r="D66" s="278">
        <v>0</v>
      </c>
      <c r="E66" s="288"/>
      <c r="F66" s="278">
        <v>0</v>
      </c>
      <c r="G66" s="288"/>
      <c r="H66" s="278">
        <v>0</v>
      </c>
      <c r="I66" s="288"/>
      <c r="J66" s="278">
        <v>0</v>
      </c>
      <c r="K66" s="288"/>
      <c r="L66" s="278">
        <v>0</v>
      </c>
      <c r="M66" s="288"/>
      <c r="N66" s="278">
        <v>0</v>
      </c>
      <c r="P66" s="278">
        <v>0</v>
      </c>
      <c r="R66" s="278"/>
      <c r="T66" s="279"/>
      <c r="U66" s="279"/>
      <c r="V66" s="279"/>
    </row>
    <row r="68" spans="2:22" ht="15">
      <c r="B68" s="41" t="s">
        <v>665</v>
      </c>
      <c r="D68" s="289">
        <f aca="true" t="shared" si="1" ref="D68:V68">+D64-D66</f>
        <v>-656388</v>
      </c>
      <c r="E68" s="289">
        <f t="shared" si="1"/>
        <v>0</v>
      </c>
      <c r="F68" s="289">
        <f t="shared" si="1"/>
        <v>4351831</v>
      </c>
      <c r="G68" s="289">
        <f t="shared" si="1"/>
        <v>0</v>
      </c>
      <c r="H68" s="289">
        <f t="shared" si="1"/>
        <v>2988376101.09</v>
      </c>
      <c r="I68" s="289">
        <f t="shared" si="1"/>
        <v>0</v>
      </c>
      <c r="J68" s="289">
        <f t="shared" si="1"/>
        <v>2054484848.27355</v>
      </c>
      <c r="K68" s="289">
        <f t="shared" si="1"/>
        <v>0</v>
      </c>
      <c r="L68" s="289">
        <f t="shared" si="1"/>
        <v>4246543561.94537</v>
      </c>
      <c r="M68" s="289">
        <f t="shared" si="1"/>
        <v>0</v>
      </c>
      <c r="N68" s="289">
        <f t="shared" si="1"/>
        <v>7062930124.743424</v>
      </c>
      <c r="O68" s="289">
        <f t="shared" si="1"/>
        <v>0</v>
      </c>
      <c r="P68" s="289">
        <f t="shared" si="1"/>
        <v>10184987351.304426</v>
      </c>
      <c r="Q68" s="289">
        <f t="shared" si="1"/>
        <v>0</v>
      </c>
      <c r="R68" s="289">
        <f t="shared" si="1"/>
        <v>13305267930.940683</v>
      </c>
      <c r="S68" s="289">
        <f t="shared" si="1"/>
        <v>0</v>
      </c>
      <c r="T68" s="289">
        <f t="shared" si="1"/>
        <v>16424394815.325644</v>
      </c>
      <c r="U68" s="289">
        <f t="shared" si="1"/>
        <v>0</v>
      </c>
      <c r="V68" s="289">
        <f t="shared" si="1"/>
        <v>19541737122.407116</v>
      </c>
    </row>
    <row r="69" spans="2:14" ht="15">
      <c r="B69" s="41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</row>
  </sheetData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K33" sqref="K3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9.7109375" style="0" customWidth="1"/>
    <col min="4" max="4" width="12.421875" style="0" customWidth="1"/>
    <col min="5" max="5" width="14.57421875" style="0" customWidth="1"/>
    <col min="6" max="6" width="12.140625" style="0" customWidth="1"/>
    <col min="7" max="8" width="21.00390625" style="0" customWidth="1"/>
    <col min="10" max="10" width="5.421875" style="0" customWidth="1"/>
  </cols>
  <sheetData>
    <row r="1" spans="1:2" ht="15.75">
      <c r="A1" s="202" t="s">
        <v>733</v>
      </c>
      <c r="B1" s="202"/>
    </row>
    <row r="2" spans="1:11" ht="12.75">
      <c r="A2" s="30" t="s">
        <v>734</v>
      </c>
      <c r="B2" s="30" t="s">
        <v>735</v>
      </c>
      <c r="C2" s="30" t="s">
        <v>736</v>
      </c>
      <c r="D2" s="30" t="s">
        <v>737</v>
      </c>
      <c r="E2" s="30" t="s">
        <v>738</v>
      </c>
      <c r="F2" s="30" t="s">
        <v>739</v>
      </c>
      <c r="G2" s="30" t="s">
        <v>740</v>
      </c>
      <c r="H2" s="30" t="s">
        <v>741</v>
      </c>
      <c r="I2" s="30" t="s">
        <v>742</v>
      </c>
      <c r="J2" s="30" t="s">
        <v>271</v>
      </c>
      <c r="K2" s="30" t="s">
        <v>743</v>
      </c>
    </row>
    <row r="3" spans="1:11" ht="12.75">
      <c r="A3" t="s">
        <v>744</v>
      </c>
      <c r="B3" t="s">
        <v>745</v>
      </c>
      <c r="C3">
        <v>7932</v>
      </c>
      <c r="D3" t="s">
        <v>746</v>
      </c>
      <c r="E3" t="s">
        <v>747</v>
      </c>
      <c r="F3" t="s">
        <v>748</v>
      </c>
      <c r="G3" t="s">
        <v>749</v>
      </c>
      <c r="I3" t="s">
        <v>750</v>
      </c>
      <c r="J3" t="s">
        <v>305</v>
      </c>
      <c r="K3">
        <v>48160</v>
      </c>
    </row>
    <row r="4" spans="1:11" ht="12.75">
      <c r="A4" t="s">
        <v>751</v>
      </c>
      <c r="B4" t="s">
        <v>745</v>
      </c>
      <c r="C4">
        <v>30167</v>
      </c>
      <c r="D4" t="s">
        <v>752</v>
      </c>
      <c r="E4" t="s">
        <v>753</v>
      </c>
      <c r="F4" t="s">
        <v>754</v>
      </c>
      <c r="G4" t="s">
        <v>755</v>
      </c>
      <c r="I4" t="s">
        <v>756</v>
      </c>
      <c r="J4" t="s">
        <v>305</v>
      </c>
      <c r="K4">
        <v>48108</v>
      </c>
    </row>
    <row r="5" spans="1:11" ht="12.75">
      <c r="A5" t="s">
        <v>757</v>
      </c>
      <c r="B5" t="s">
        <v>758</v>
      </c>
      <c r="C5">
        <v>15901</v>
      </c>
      <c r="D5" t="s">
        <v>759</v>
      </c>
      <c r="E5" t="s">
        <v>760</v>
      </c>
      <c r="F5" t="s">
        <v>761</v>
      </c>
      <c r="G5" t="s">
        <v>762</v>
      </c>
      <c r="I5" t="s">
        <v>763</v>
      </c>
      <c r="J5" t="s">
        <v>305</v>
      </c>
      <c r="K5">
        <v>48116</v>
      </c>
    </row>
    <row r="6" spans="1:11" ht="12.75">
      <c r="A6" t="s">
        <v>764</v>
      </c>
      <c r="B6" t="s">
        <v>758</v>
      </c>
      <c r="C6">
        <v>7004</v>
      </c>
      <c r="D6" t="s">
        <v>765</v>
      </c>
      <c r="E6" t="s">
        <v>766</v>
      </c>
      <c r="F6" t="s">
        <v>767</v>
      </c>
      <c r="G6" t="s">
        <v>768</v>
      </c>
      <c r="H6" t="s">
        <v>769</v>
      </c>
      <c r="I6" t="s">
        <v>770</v>
      </c>
      <c r="J6" t="s">
        <v>305</v>
      </c>
      <c r="K6">
        <v>48836</v>
      </c>
    </row>
    <row r="7" spans="1:11" ht="12.75">
      <c r="A7" t="s">
        <v>771</v>
      </c>
      <c r="B7" t="s">
        <v>758</v>
      </c>
      <c r="C7">
        <v>5679</v>
      </c>
      <c r="D7" t="s">
        <v>772</v>
      </c>
      <c r="E7" t="s">
        <v>773</v>
      </c>
      <c r="F7" t="s">
        <v>774</v>
      </c>
      <c r="G7" t="s">
        <v>775</v>
      </c>
      <c r="I7" t="s">
        <v>771</v>
      </c>
      <c r="J7" t="s">
        <v>305</v>
      </c>
      <c r="K7">
        <v>48843</v>
      </c>
    </row>
    <row r="8" spans="1:11" ht="12.75">
      <c r="A8" t="s">
        <v>763</v>
      </c>
      <c r="B8" t="s">
        <v>758</v>
      </c>
      <c r="C8">
        <v>17673</v>
      </c>
      <c r="D8" t="s">
        <v>776</v>
      </c>
      <c r="E8" t="s">
        <v>777</v>
      </c>
      <c r="F8" t="s">
        <v>778</v>
      </c>
      <c r="G8" t="s">
        <v>779</v>
      </c>
      <c r="I8" t="s">
        <v>763</v>
      </c>
      <c r="J8" t="s">
        <v>305</v>
      </c>
      <c r="K8">
        <v>48114</v>
      </c>
    </row>
    <row r="9" spans="1:11" ht="12.75">
      <c r="A9" t="s">
        <v>780</v>
      </c>
      <c r="B9" t="s">
        <v>781</v>
      </c>
      <c r="C9">
        <v>30195</v>
      </c>
      <c r="D9" t="s">
        <v>782</v>
      </c>
      <c r="E9" t="s">
        <v>783</v>
      </c>
      <c r="F9" t="s">
        <v>784</v>
      </c>
      <c r="G9" t="s">
        <v>785</v>
      </c>
      <c r="H9" t="s">
        <v>786</v>
      </c>
      <c r="I9" t="s">
        <v>787</v>
      </c>
      <c r="J9" t="s">
        <v>305</v>
      </c>
      <c r="K9">
        <v>49306</v>
      </c>
    </row>
    <row r="10" spans="1:11" ht="12.75">
      <c r="A10" t="s">
        <v>788</v>
      </c>
      <c r="B10" t="s">
        <v>781</v>
      </c>
      <c r="C10">
        <v>5219</v>
      </c>
      <c r="D10" t="s">
        <v>789</v>
      </c>
      <c r="E10" t="s">
        <v>790</v>
      </c>
      <c r="F10" t="s">
        <v>791</v>
      </c>
      <c r="G10" t="s">
        <v>792</v>
      </c>
      <c r="H10" t="s">
        <v>793</v>
      </c>
      <c r="I10" t="s">
        <v>794</v>
      </c>
      <c r="J10" t="s">
        <v>305</v>
      </c>
      <c r="K10">
        <v>49331</v>
      </c>
    </row>
    <row r="11" spans="1:11" ht="12.75">
      <c r="A11" t="s">
        <v>795</v>
      </c>
      <c r="B11" t="s">
        <v>781</v>
      </c>
      <c r="C11">
        <v>14056</v>
      </c>
      <c r="D11" t="s">
        <v>796</v>
      </c>
      <c r="E11" t="s">
        <v>797</v>
      </c>
      <c r="F11" t="s">
        <v>798</v>
      </c>
      <c r="G11" t="s">
        <v>799</v>
      </c>
      <c r="I11" t="s">
        <v>800</v>
      </c>
      <c r="J11" t="s">
        <v>305</v>
      </c>
      <c r="K11">
        <v>49525</v>
      </c>
    </row>
    <row r="12" spans="1:11" ht="12.75">
      <c r="A12" t="s">
        <v>801</v>
      </c>
      <c r="B12" t="s">
        <v>781</v>
      </c>
      <c r="C12">
        <v>15107</v>
      </c>
      <c r="D12" t="s">
        <v>802</v>
      </c>
      <c r="E12" t="s">
        <v>803</v>
      </c>
      <c r="F12" t="s">
        <v>804</v>
      </c>
      <c r="G12" t="s">
        <v>805</v>
      </c>
      <c r="I12" t="s">
        <v>800</v>
      </c>
      <c r="J12" t="s">
        <v>305</v>
      </c>
      <c r="K12">
        <v>49546</v>
      </c>
    </row>
    <row r="13" spans="1:11" ht="12.75">
      <c r="A13" t="s">
        <v>806</v>
      </c>
      <c r="B13" t="s">
        <v>781</v>
      </c>
      <c r="C13">
        <v>8964</v>
      </c>
      <c r="D13" t="s">
        <v>807</v>
      </c>
      <c r="E13" t="s">
        <v>808</v>
      </c>
      <c r="F13" t="s">
        <v>809</v>
      </c>
      <c r="G13" t="s">
        <v>810</v>
      </c>
      <c r="I13" t="s">
        <v>811</v>
      </c>
      <c r="J13" t="s">
        <v>305</v>
      </c>
      <c r="K13">
        <v>49316</v>
      </c>
    </row>
    <row r="14" spans="1:11" ht="12.75">
      <c r="A14" t="s">
        <v>812</v>
      </c>
      <c r="B14" t="s">
        <v>781</v>
      </c>
      <c r="C14">
        <v>2743</v>
      </c>
      <c r="D14" t="s">
        <v>813</v>
      </c>
      <c r="E14" t="s">
        <v>814</v>
      </c>
      <c r="F14" t="s">
        <v>815</v>
      </c>
      <c r="G14" t="s">
        <v>816</v>
      </c>
      <c r="I14" t="s">
        <v>817</v>
      </c>
      <c r="J14" t="s">
        <v>305</v>
      </c>
      <c r="K14">
        <v>49302</v>
      </c>
    </row>
    <row r="15" spans="1:11" ht="12.75">
      <c r="A15" t="s">
        <v>818</v>
      </c>
      <c r="B15" t="s">
        <v>781</v>
      </c>
      <c r="C15">
        <v>9882</v>
      </c>
      <c r="D15" t="s">
        <v>819</v>
      </c>
      <c r="E15" t="s">
        <v>820</v>
      </c>
      <c r="F15" t="s">
        <v>821</v>
      </c>
      <c r="G15" t="s">
        <v>822</v>
      </c>
      <c r="H15" t="s">
        <v>823</v>
      </c>
      <c r="I15" t="s">
        <v>818</v>
      </c>
      <c r="J15" t="s">
        <v>305</v>
      </c>
      <c r="K15">
        <v>49301</v>
      </c>
    </row>
    <row r="16" spans="1:11" ht="12.75">
      <c r="A16" t="s">
        <v>824</v>
      </c>
      <c r="B16" t="s">
        <v>781</v>
      </c>
      <c r="C16">
        <v>13976</v>
      </c>
      <c r="D16" t="s">
        <v>825</v>
      </c>
      <c r="E16" t="s">
        <v>826</v>
      </c>
      <c r="F16" t="s">
        <v>827</v>
      </c>
      <c r="G16" t="s">
        <v>828</v>
      </c>
      <c r="I16" t="s">
        <v>829</v>
      </c>
      <c r="J16" t="s">
        <v>305</v>
      </c>
      <c r="K16">
        <v>49321</v>
      </c>
    </row>
    <row r="17" spans="1:11" ht="12.75">
      <c r="A17" t="s">
        <v>830</v>
      </c>
      <c r="B17" t="s">
        <v>831</v>
      </c>
      <c r="C17">
        <v>1202</v>
      </c>
      <c r="D17" t="s">
        <v>832</v>
      </c>
      <c r="E17" t="s">
        <v>833</v>
      </c>
      <c r="F17" t="s">
        <v>834</v>
      </c>
      <c r="G17" t="s">
        <v>835</v>
      </c>
      <c r="I17" t="s">
        <v>836</v>
      </c>
      <c r="J17" t="s">
        <v>305</v>
      </c>
      <c r="K17">
        <v>48875</v>
      </c>
    </row>
    <row r="18" spans="1:11" ht="12.75">
      <c r="A18" t="s">
        <v>837</v>
      </c>
      <c r="B18" t="s">
        <v>831</v>
      </c>
      <c r="C18">
        <v>4036</v>
      </c>
      <c r="D18" t="s">
        <v>838</v>
      </c>
      <c r="E18" t="s">
        <v>839</v>
      </c>
      <c r="F18" t="s">
        <v>840</v>
      </c>
      <c r="G18" t="s">
        <v>841</v>
      </c>
      <c r="H18" t="s">
        <v>842</v>
      </c>
      <c r="I18" t="s">
        <v>843</v>
      </c>
      <c r="J18" t="s">
        <v>305</v>
      </c>
      <c r="K18">
        <v>48849</v>
      </c>
    </row>
    <row r="19" spans="1:11" ht="12.75">
      <c r="A19" t="s">
        <v>844</v>
      </c>
      <c r="B19" t="s">
        <v>831</v>
      </c>
      <c r="C19">
        <v>4961</v>
      </c>
      <c r="D19" t="s">
        <v>845</v>
      </c>
      <c r="E19" t="s">
        <v>846</v>
      </c>
      <c r="F19" t="s">
        <v>847</v>
      </c>
      <c r="G19" t="s">
        <v>848</v>
      </c>
      <c r="I19" t="s">
        <v>849</v>
      </c>
      <c r="J19" t="s">
        <v>305</v>
      </c>
      <c r="K19">
        <v>48881</v>
      </c>
    </row>
    <row r="20" spans="1:11" ht="12.75">
      <c r="A20" t="s">
        <v>850</v>
      </c>
      <c r="B20" t="s">
        <v>831</v>
      </c>
      <c r="C20">
        <v>2243</v>
      </c>
      <c r="D20" t="s">
        <v>851</v>
      </c>
      <c r="E20" t="s">
        <v>852</v>
      </c>
      <c r="F20" t="s">
        <v>852</v>
      </c>
      <c r="G20" t="s">
        <v>853</v>
      </c>
      <c r="I20" t="s">
        <v>854</v>
      </c>
      <c r="J20" t="s">
        <v>305</v>
      </c>
      <c r="K20">
        <v>48815</v>
      </c>
    </row>
    <row r="21" spans="1:11" ht="12.75">
      <c r="A21" t="s">
        <v>855</v>
      </c>
      <c r="B21" t="s">
        <v>831</v>
      </c>
      <c r="C21">
        <v>2696</v>
      </c>
      <c r="D21" t="s">
        <v>856</v>
      </c>
      <c r="E21" t="s">
        <v>857</v>
      </c>
      <c r="F21" t="s">
        <v>858</v>
      </c>
      <c r="G21" t="s">
        <v>859</v>
      </c>
      <c r="I21" t="s">
        <v>860</v>
      </c>
      <c r="J21" t="s">
        <v>305</v>
      </c>
      <c r="K21">
        <v>48890</v>
      </c>
    </row>
    <row r="22" spans="1:11" ht="12.75">
      <c r="A22" t="s">
        <v>861</v>
      </c>
      <c r="B22" t="s">
        <v>862</v>
      </c>
      <c r="C22">
        <v>39116</v>
      </c>
      <c r="D22" t="s">
        <v>863</v>
      </c>
      <c r="E22" t="s">
        <v>864</v>
      </c>
      <c r="F22" t="s">
        <v>865</v>
      </c>
      <c r="G22" t="s">
        <v>866</v>
      </c>
      <c r="I22" t="s">
        <v>867</v>
      </c>
      <c r="J22" t="s">
        <v>305</v>
      </c>
      <c r="K22">
        <v>48864</v>
      </c>
    </row>
    <row r="23" spans="1:11" ht="12.75">
      <c r="A23" t="s">
        <v>868</v>
      </c>
      <c r="B23" t="s">
        <v>862</v>
      </c>
      <c r="C23">
        <v>4834</v>
      </c>
      <c r="D23" t="s">
        <v>869</v>
      </c>
      <c r="E23" t="s">
        <v>870</v>
      </c>
      <c r="F23" t="s">
        <v>871</v>
      </c>
      <c r="G23" t="s">
        <v>872</v>
      </c>
      <c r="I23" t="s">
        <v>873</v>
      </c>
      <c r="J23" t="s">
        <v>305</v>
      </c>
      <c r="K23">
        <v>48895</v>
      </c>
    </row>
    <row r="24" spans="1:11" ht="12.75">
      <c r="A24" t="s">
        <v>874</v>
      </c>
      <c r="B24" t="s">
        <v>862</v>
      </c>
      <c r="C24">
        <v>8458</v>
      </c>
      <c r="D24" t="s">
        <v>875</v>
      </c>
      <c r="E24" t="s">
        <v>876</v>
      </c>
      <c r="F24" t="s">
        <v>877</v>
      </c>
      <c r="G24" t="s">
        <v>878</v>
      </c>
      <c r="I24" t="s">
        <v>879</v>
      </c>
      <c r="J24" t="s">
        <v>305</v>
      </c>
      <c r="K24">
        <v>48917</v>
      </c>
    </row>
    <row r="25" spans="1:11" ht="12.75">
      <c r="A25" t="s">
        <v>880</v>
      </c>
      <c r="B25" t="s">
        <v>862</v>
      </c>
      <c r="C25">
        <v>3653</v>
      </c>
      <c r="D25" t="s">
        <v>881</v>
      </c>
      <c r="E25" t="s">
        <v>882</v>
      </c>
      <c r="F25" t="s">
        <v>883</v>
      </c>
      <c r="G25" t="s">
        <v>884</v>
      </c>
      <c r="I25" t="s">
        <v>885</v>
      </c>
      <c r="J25" t="s">
        <v>305</v>
      </c>
      <c r="K25">
        <v>48892</v>
      </c>
    </row>
    <row r="26" spans="1:11" ht="12.75">
      <c r="A26" t="s">
        <v>886</v>
      </c>
      <c r="B26" t="s">
        <v>887</v>
      </c>
      <c r="C26">
        <v>3703</v>
      </c>
      <c r="D26" t="s">
        <v>888</v>
      </c>
      <c r="E26" t="s">
        <v>889</v>
      </c>
      <c r="F26" t="s">
        <v>890</v>
      </c>
      <c r="G26" t="s">
        <v>793</v>
      </c>
      <c r="I26" t="s">
        <v>891</v>
      </c>
      <c r="J26" t="s">
        <v>305</v>
      </c>
      <c r="K26">
        <v>48837</v>
      </c>
    </row>
    <row r="27" spans="1:11" ht="12.75">
      <c r="A27" t="s">
        <v>892</v>
      </c>
      <c r="B27" t="s">
        <v>887</v>
      </c>
      <c r="C27">
        <v>29682</v>
      </c>
      <c r="D27" t="s">
        <v>893</v>
      </c>
      <c r="E27" t="s">
        <v>894</v>
      </c>
      <c r="F27" t="s">
        <v>895</v>
      </c>
      <c r="G27" t="s">
        <v>896</v>
      </c>
      <c r="I27" t="s">
        <v>879</v>
      </c>
      <c r="J27" t="s">
        <v>305</v>
      </c>
      <c r="K27">
        <v>48917</v>
      </c>
    </row>
    <row r="28" spans="1:11" ht="12.75">
      <c r="A28" t="s">
        <v>897</v>
      </c>
      <c r="B28" t="s">
        <v>898</v>
      </c>
      <c r="C28">
        <v>4162</v>
      </c>
      <c r="D28" t="s">
        <v>899</v>
      </c>
      <c r="E28" t="s">
        <v>900</v>
      </c>
      <c r="F28" t="s">
        <v>901</v>
      </c>
      <c r="G28" t="s">
        <v>902</v>
      </c>
      <c r="I28" t="s">
        <v>891</v>
      </c>
      <c r="J28" t="s">
        <v>305</v>
      </c>
      <c r="K28">
        <v>48837</v>
      </c>
    </row>
    <row r="29" spans="1:11" ht="12.75">
      <c r="A29" s="18" t="s">
        <v>903</v>
      </c>
      <c r="B29" s="18" t="s">
        <v>898</v>
      </c>
      <c r="C29" s="18">
        <v>2332</v>
      </c>
      <c r="D29" s="18" t="s">
        <v>904</v>
      </c>
      <c r="E29" s="18" t="s">
        <v>905</v>
      </c>
      <c r="F29" s="18" t="s">
        <v>906</v>
      </c>
      <c r="G29" s="18" t="s">
        <v>907</v>
      </c>
      <c r="H29" s="18"/>
      <c r="I29" s="18" t="s">
        <v>903</v>
      </c>
      <c r="J29" s="18" t="s">
        <v>305</v>
      </c>
      <c r="K29" s="18">
        <v>48822</v>
      </c>
    </row>
    <row r="30" spans="2:3" ht="12.75">
      <c r="B30" s="51" t="s">
        <v>908</v>
      </c>
      <c r="C30">
        <f>SUM(C3:C29)</f>
        <v>295576</v>
      </c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workbookViewId="0" topLeftCell="A5">
      <selection activeCell="AB52" sqref="AB52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259</v>
      </c>
    </row>
    <row r="2" spans="3:22" ht="12.75">
      <c r="C2" t="s">
        <v>260</v>
      </c>
      <c r="U2" s="226">
        <v>356</v>
      </c>
      <c r="V2" s="227" t="s">
        <v>420</v>
      </c>
    </row>
    <row r="3" spans="21:26" ht="13.5" thickBot="1">
      <c r="U3" s="226">
        <v>300</v>
      </c>
      <c r="V3" s="228" t="s">
        <v>419</v>
      </c>
      <c r="Z3" s="27"/>
    </row>
    <row r="4" spans="12:22" ht="13.5" thickBot="1">
      <c r="L4" s="151">
        <v>0.1</v>
      </c>
      <c r="M4" t="s">
        <v>261</v>
      </c>
      <c r="N4" s="151">
        <v>0.1</v>
      </c>
      <c r="O4" t="s">
        <v>261</v>
      </c>
      <c r="Q4" s="151">
        <v>0.25</v>
      </c>
      <c r="R4" t="s">
        <v>261</v>
      </c>
      <c r="U4" s="226" t="s">
        <v>418</v>
      </c>
      <c r="V4" s="152" t="s">
        <v>262</v>
      </c>
    </row>
    <row r="5" spans="12:27" ht="13.5" thickBot="1">
      <c r="L5" s="153">
        <f>SUM(SolarCells!$K$6*2)</f>
        <v>675840</v>
      </c>
      <c r="M5" s="154" t="s">
        <v>263</v>
      </c>
      <c r="N5" s="243">
        <v>13.42</v>
      </c>
      <c r="O5" s="154" t="s">
        <v>520</v>
      </c>
      <c r="P5" s="154"/>
      <c r="Q5" s="155">
        <v>38</v>
      </c>
      <c r="R5" s="154" t="s">
        <v>264</v>
      </c>
      <c r="U5" s="156">
        <v>1.2</v>
      </c>
      <c r="V5" s="157" t="s">
        <v>265</v>
      </c>
      <c r="Z5" s="158" t="s">
        <v>369</v>
      </c>
      <c r="AA5" s="250"/>
    </row>
    <row r="6" spans="4:27" ht="14.25" customHeight="1" thickBot="1">
      <c r="D6" s="159" t="s">
        <v>266</v>
      </c>
      <c r="E6" s="159" t="s">
        <v>966</v>
      </c>
      <c r="F6" s="159"/>
      <c r="H6" s="151">
        <v>0.13</v>
      </c>
      <c r="I6" s="159"/>
      <c r="J6" s="159"/>
      <c r="L6" s="160">
        <v>0.001</v>
      </c>
      <c r="M6" s="154" t="s">
        <v>267</v>
      </c>
      <c r="N6" s="160">
        <v>1.76</v>
      </c>
      <c r="O6" s="154" t="s">
        <v>268</v>
      </c>
      <c r="P6" s="154"/>
      <c r="Q6" s="160">
        <v>1</v>
      </c>
      <c r="R6" s="154" t="s">
        <v>269</v>
      </c>
      <c r="U6" s="161">
        <v>24</v>
      </c>
      <c r="V6" s="162" t="s">
        <v>270</v>
      </c>
      <c r="Z6" s="163">
        <v>0.5</v>
      </c>
      <c r="AA6" s="251"/>
    </row>
    <row r="7" spans="2:28" ht="13.5" thickBot="1">
      <c r="B7" s="11" t="s">
        <v>271</v>
      </c>
      <c r="C7" s="11" t="s">
        <v>272</v>
      </c>
      <c r="D7" s="11" t="s">
        <v>273</v>
      </c>
      <c r="E7" s="11" t="s">
        <v>342</v>
      </c>
      <c r="F7" s="11" t="s">
        <v>342</v>
      </c>
      <c r="G7" s="11" t="s">
        <v>455</v>
      </c>
      <c r="H7" s="11" t="s">
        <v>516</v>
      </c>
      <c r="I7" s="30" t="s">
        <v>517</v>
      </c>
      <c r="J7" s="30" t="s">
        <v>518</v>
      </c>
      <c r="K7" s="11" t="s">
        <v>524</v>
      </c>
      <c r="L7" s="11" t="s">
        <v>274</v>
      </c>
      <c r="M7" s="11" t="s">
        <v>275</v>
      </c>
      <c r="N7" s="11" t="s">
        <v>276</v>
      </c>
      <c r="O7" s="11"/>
      <c r="P7" s="30" t="s">
        <v>277</v>
      </c>
      <c r="Q7" s="164" t="s">
        <v>373</v>
      </c>
      <c r="R7" s="11" t="s">
        <v>374</v>
      </c>
      <c r="S7" s="165" t="s">
        <v>278</v>
      </c>
      <c r="T7" s="11" t="s">
        <v>279</v>
      </c>
      <c r="U7" s="30"/>
      <c r="V7" s="30" t="s">
        <v>417</v>
      </c>
      <c r="W7" s="30" t="s">
        <v>371</v>
      </c>
      <c r="X7" s="30" t="s">
        <v>372</v>
      </c>
      <c r="Y7" s="30" t="s">
        <v>375</v>
      </c>
      <c r="Z7" s="158" t="s">
        <v>369</v>
      </c>
      <c r="AA7" t="s">
        <v>535</v>
      </c>
      <c r="AB7" s="30" t="s">
        <v>280</v>
      </c>
    </row>
    <row r="8" spans="2:28" ht="13.5" thickBot="1">
      <c r="B8" s="166" t="s">
        <v>281</v>
      </c>
      <c r="C8" s="11">
        <v>1</v>
      </c>
      <c r="D8" s="11"/>
      <c r="E8" s="319">
        <v>2</v>
      </c>
      <c r="F8" s="319">
        <v>2</v>
      </c>
      <c r="G8" s="11"/>
      <c r="H8" s="11"/>
      <c r="I8" s="168">
        <v>5</v>
      </c>
      <c r="J8" s="11"/>
      <c r="K8" s="167">
        <v>10000000</v>
      </c>
      <c r="L8" s="168">
        <f>SUM(L5*C8)*L6</f>
        <v>675.84</v>
      </c>
      <c r="M8" s="11" t="s">
        <v>282</v>
      </c>
      <c r="N8" s="168">
        <f>SUM(N6*N5)</f>
        <v>23.6192</v>
      </c>
      <c r="O8" s="66" t="s">
        <v>416</v>
      </c>
      <c r="P8" s="11"/>
      <c r="Q8" s="169">
        <f>SUM(Q6*Q5)</f>
        <v>38</v>
      </c>
      <c r="R8" s="11"/>
      <c r="S8" s="204">
        <f>'Advertising - Rent'!$F$18</f>
        <v>1354642.0281690143</v>
      </c>
      <c r="T8" s="170">
        <f aca="true" t="shared" si="0" ref="T8:T39">SUM(S8*12)</f>
        <v>16255704.33802817</v>
      </c>
      <c r="U8" s="168"/>
      <c r="V8" s="168">
        <f>SUM(U5*U6*U3*U2)</f>
        <v>3075840</v>
      </c>
      <c r="W8" s="170">
        <f>'Advertising - Rent'!$G$29</f>
        <v>73344000</v>
      </c>
      <c r="X8" s="170">
        <v>120000</v>
      </c>
      <c r="Y8" s="11"/>
      <c r="Z8" s="30" t="s">
        <v>421</v>
      </c>
      <c r="AA8" s="252">
        <v>0.25</v>
      </c>
      <c r="AB8" s="11"/>
    </row>
    <row r="9" spans="1:28" ht="12.75">
      <c r="A9" t="s">
        <v>536</v>
      </c>
      <c r="B9" t="s">
        <v>283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40">
        <v>4500752</v>
      </c>
      <c r="H9" s="105">
        <f>SUM(G9*$H$6)</f>
        <v>585097.76</v>
      </c>
      <c r="I9" s="171">
        <f>SUM(H9*$I$8)</f>
        <v>2925488.8</v>
      </c>
      <c r="J9" s="27">
        <f>SUM(I9*365)</f>
        <v>1067803411.9999999</v>
      </c>
      <c r="K9" s="171">
        <f aca="true" t="shared" si="2" ref="K9:K40">SUM(C9*$K$8)</f>
        <v>9230000000</v>
      </c>
      <c r="L9" s="171">
        <f aca="true" t="shared" si="3" ref="L9:L40">SUM(C9*$L$8)*$L$4</f>
        <v>62380.03200000001</v>
      </c>
      <c r="M9" s="171">
        <f aca="true" t="shared" si="4" ref="M9:M40">SUM(L9*365)*8</f>
        <v>182149693.44000003</v>
      </c>
      <c r="N9" s="171">
        <f aca="true" t="shared" si="5" ref="N9:N40">SUM($N$8*C9)*$N$4</f>
        <v>2180.05216</v>
      </c>
      <c r="O9" s="171">
        <f aca="true" t="shared" si="6" ref="O9:O40">SUM(N9*8)</f>
        <v>17440.41728</v>
      </c>
      <c r="P9" s="224">
        <f>SUM(O9*365)</f>
        <v>6365752.307200001</v>
      </c>
      <c r="Q9" s="171">
        <f aca="true" t="shared" si="7" ref="Q9:Q40">SUM(C9*$Q$8)*$Q$4</f>
        <v>8768.5</v>
      </c>
      <c r="R9" s="171">
        <f>SUM(Q9*365)</f>
        <v>3200502.5</v>
      </c>
      <c r="S9" s="171">
        <f aca="true" t="shared" si="8" ref="S9:S40">SUM(C9*$S$8)</f>
        <v>1250334592.0000002</v>
      </c>
      <c r="T9" s="171">
        <f t="shared" si="0"/>
        <v>15004015104.000004</v>
      </c>
      <c r="U9" s="171"/>
      <c r="V9" s="171">
        <f aca="true" t="shared" si="9" ref="V9:V40">SUM($V$8*C9)</f>
        <v>2839000320</v>
      </c>
      <c r="W9" s="171">
        <f aca="true" t="shared" si="10" ref="W9:W40">SUM(C9*$W$8)</f>
        <v>67696512000</v>
      </c>
      <c r="X9" s="171">
        <f aca="true" t="shared" si="11" ref="X9:X40">SUM(C9*$X$8)</f>
        <v>110760000</v>
      </c>
      <c r="Y9" s="171">
        <f>SUM(M9+P9+J9+R9+T9+V9+W9+X9)</f>
        <v>86909806784.24721</v>
      </c>
      <c r="Z9" s="171">
        <f aca="true" t="shared" si="12" ref="Z9:Z40">SUM(Y9*$Z$6)</f>
        <v>43454903392.123604</v>
      </c>
      <c r="AA9" s="171">
        <f>SUM(Z9*$AA$8)</f>
        <v>10863725848.030901</v>
      </c>
      <c r="AB9">
        <f aca="true" t="shared" si="13" ref="AB9:AB40">SUM(K9/Z9)</f>
        <v>0.21240410815578936</v>
      </c>
    </row>
    <row r="10" spans="1:28" ht="12.75">
      <c r="A10" t="s">
        <v>537</v>
      </c>
      <c r="B10" t="s">
        <v>284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40">
        <v>648818</v>
      </c>
      <c r="H10" s="105">
        <f>SUM(G10*$H$6)</f>
        <v>84346.34</v>
      </c>
      <c r="I10" s="171">
        <f aca="true" t="shared" si="15" ref="I10:I60">SUM(H10*$I$8)</f>
        <v>421731.69999999995</v>
      </c>
      <c r="J10" s="27">
        <f>SUM(I10*365)</f>
        <v>153932070.49999997</v>
      </c>
      <c r="K10" s="171">
        <f t="shared" si="2"/>
        <v>10830000000</v>
      </c>
      <c r="L10" s="171">
        <f t="shared" si="3"/>
        <v>73193.47200000001</v>
      </c>
      <c r="M10" s="171">
        <f t="shared" si="4"/>
        <v>213724938.24000004</v>
      </c>
      <c r="N10" s="171">
        <f t="shared" si="5"/>
        <v>2557.9593600000003</v>
      </c>
      <c r="O10" s="171">
        <f t="shared" si="6"/>
        <v>20463.674880000002</v>
      </c>
      <c r="P10" s="224">
        <f aca="true" t="shared" si="16" ref="P10:P60">SUM(O10*365)</f>
        <v>7469241.331200001</v>
      </c>
      <c r="Q10" s="171">
        <f t="shared" si="7"/>
        <v>10288.5</v>
      </c>
      <c r="R10" s="171">
        <f aca="true" t="shared" si="17" ref="R10:R60">SUM(Q10*365)</f>
        <v>3755302.5</v>
      </c>
      <c r="S10" s="171">
        <f t="shared" si="8"/>
        <v>1467077316.5070424</v>
      </c>
      <c r="T10" s="171">
        <f t="shared" si="0"/>
        <v>17604927798.08451</v>
      </c>
      <c r="U10" s="171"/>
      <c r="V10" s="171">
        <f t="shared" si="9"/>
        <v>3331134720</v>
      </c>
      <c r="W10" s="171">
        <f t="shared" si="10"/>
        <v>79431552000</v>
      </c>
      <c r="X10" s="171">
        <f t="shared" si="11"/>
        <v>129960000</v>
      </c>
      <c r="Y10" s="171">
        <f aca="true" t="shared" si="18" ref="Y10:Y61">SUM(M10+P10+J10+R10+T10+V10+W10+X10)</f>
        <v>100876456070.65572</v>
      </c>
      <c r="Z10" s="171">
        <f t="shared" si="12"/>
        <v>50438228035.32786</v>
      </c>
      <c r="AA10" s="171">
        <f aca="true" t="shared" si="19" ref="AA10:AA60">SUM(Z10*$AA$8)</f>
        <v>12609557008.831964</v>
      </c>
      <c r="AB10">
        <f t="shared" si="13"/>
        <v>0.2147180902630931</v>
      </c>
    </row>
    <row r="11" spans="1:28" ht="12.75">
      <c r="A11" t="s">
        <v>538</v>
      </c>
      <c r="B11" t="s">
        <v>285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40">
        <v>5580811</v>
      </c>
      <c r="H11" s="105">
        <f aca="true" t="shared" si="20" ref="H11:H60">SUM(G11*$H$6)</f>
        <v>725505.43</v>
      </c>
      <c r="I11" s="171">
        <f t="shared" si="15"/>
        <v>3627527.1500000004</v>
      </c>
      <c r="J11" s="27">
        <f aca="true" t="shared" si="21" ref="J11:J60">SUM(I11*365)</f>
        <v>1324047409.7500002</v>
      </c>
      <c r="K11" s="171">
        <f t="shared" si="2"/>
        <v>13000000000</v>
      </c>
      <c r="L11" s="171">
        <f t="shared" si="3"/>
        <v>87859.20000000001</v>
      </c>
      <c r="M11" s="171">
        <f t="shared" si="4"/>
        <v>256548864.00000003</v>
      </c>
      <c r="N11" s="171">
        <f t="shared" si="5"/>
        <v>3070.496</v>
      </c>
      <c r="O11" s="171">
        <f t="shared" si="6"/>
        <v>24563.968</v>
      </c>
      <c r="P11" s="224">
        <f t="shared" si="16"/>
        <v>8965848.32</v>
      </c>
      <c r="Q11" s="171">
        <f t="shared" si="7"/>
        <v>12350</v>
      </c>
      <c r="R11" s="171">
        <f t="shared" si="17"/>
        <v>4507750</v>
      </c>
      <c r="S11" s="171">
        <f t="shared" si="8"/>
        <v>1761034636.6197186</v>
      </c>
      <c r="T11" s="171">
        <f t="shared" si="0"/>
        <v>21132415639.436623</v>
      </c>
      <c r="U11" s="171"/>
      <c r="V11" s="171">
        <f t="shared" si="9"/>
        <v>3998592000</v>
      </c>
      <c r="W11" s="171">
        <f t="shared" si="10"/>
        <v>95347200000</v>
      </c>
      <c r="X11" s="171">
        <f t="shared" si="11"/>
        <v>156000000</v>
      </c>
      <c r="Y11" s="171">
        <f t="shared" si="18"/>
        <v>122228277511.50662</v>
      </c>
      <c r="Z11" s="171">
        <f t="shared" si="12"/>
        <v>61114138755.75331</v>
      </c>
      <c r="AA11" s="171">
        <f t="shared" si="19"/>
        <v>15278534688.938328</v>
      </c>
      <c r="AB11">
        <f t="shared" si="13"/>
        <v>0.212716734043416</v>
      </c>
    </row>
    <row r="12" spans="1:28" ht="12.75">
      <c r="A12" t="s">
        <v>539</v>
      </c>
      <c r="B12" t="s">
        <v>286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40">
        <v>2725714</v>
      </c>
      <c r="H12" s="105">
        <f t="shared" si="20"/>
        <v>354342.82</v>
      </c>
      <c r="I12" s="171">
        <f t="shared" si="15"/>
        <v>1771714.1</v>
      </c>
      <c r="J12" s="27">
        <f t="shared" si="21"/>
        <v>646675646.5</v>
      </c>
      <c r="K12" s="171">
        <f t="shared" si="2"/>
        <v>7400000000</v>
      </c>
      <c r="L12" s="171">
        <f t="shared" si="3"/>
        <v>50012.16</v>
      </c>
      <c r="M12" s="171">
        <f t="shared" si="4"/>
        <v>146035507.20000002</v>
      </c>
      <c r="N12" s="171">
        <f t="shared" si="5"/>
        <v>1747.8208</v>
      </c>
      <c r="O12" s="171">
        <f t="shared" si="6"/>
        <v>13982.5664</v>
      </c>
      <c r="P12" s="224">
        <f t="shared" si="16"/>
        <v>5103636.736</v>
      </c>
      <c r="Q12" s="171">
        <f t="shared" si="7"/>
        <v>7030</v>
      </c>
      <c r="R12" s="171">
        <f t="shared" si="17"/>
        <v>2565950</v>
      </c>
      <c r="S12" s="171">
        <f t="shared" si="8"/>
        <v>1002435100.8450706</v>
      </c>
      <c r="T12" s="171">
        <f t="shared" si="0"/>
        <v>12029221210.140846</v>
      </c>
      <c r="U12" s="171"/>
      <c r="V12" s="171">
        <f t="shared" si="9"/>
        <v>2276121600</v>
      </c>
      <c r="W12" s="171">
        <f t="shared" si="10"/>
        <v>54274560000</v>
      </c>
      <c r="X12" s="171">
        <f t="shared" si="11"/>
        <v>88800000</v>
      </c>
      <c r="Y12" s="171">
        <f t="shared" si="18"/>
        <v>69469083550.57684</v>
      </c>
      <c r="Z12" s="171">
        <f t="shared" si="12"/>
        <v>34734541775.28842</v>
      </c>
      <c r="AA12" s="171">
        <f t="shared" si="19"/>
        <v>8683635443.822105</v>
      </c>
      <c r="AB12">
        <f t="shared" si="13"/>
        <v>0.21304441117644637</v>
      </c>
    </row>
    <row r="13" spans="1:28" s="11" customFormat="1" ht="12.75">
      <c r="A13" t="s">
        <v>540</v>
      </c>
      <c r="B13" s="11" t="s">
        <v>287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40">
        <v>35484453</v>
      </c>
      <c r="H13" s="105">
        <f t="shared" si="20"/>
        <v>4612978.890000001</v>
      </c>
      <c r="I13" s="171">
        <f t="shared" si="15"/>
        <v>23064894.450000003</v>
      </c>
      <c r="J13" s="27">
        <f t="shared" si="21"/>
        <v>8418686474.250001</v>
      </c>
      <c r="K13" s="170">
        <f t="shared" si="2"/>
        <v>35230000000</v>
      </c>
      <c r="L13" s="170">
        <f t="shared" si="3"/>
        <v>238098.43200000003</v>
      </c>
      <c r="M13" s="170">
        <f t="shared" si="4"/>
        <v>695247421.44</v>
      </c>
      <c r="N13" s="170">
        <f t="shared" si="5"/>
        <v>8321.04416</v>
      </c>
      <c r="O13" s="170">
        <f t="shared" si="6"/>
        <v>66568.35328</v>
      </c>
      <c r="P13" s="225">
        <f t="shared" si="16"/>
        <v>24297448.9472</v>
      </c>
      <c r="Q13" s="170">
        <f t="shared" si="7"/>
        <v>33468.5</v>
      </c>
      <c r="R13" s="170">
        <f t="shared" si="17"/>
        <v>12216002.5</v>
      </c>
      <c r="S13" s="170">
        <f t="shared" si="8"/>
        <v>4772403865.239437</v>
      </c>
      <c r="T13" s="170">
        <f t="shared" si="0"/>
        <v>57268846382.873245</v>
      </c>
      <c r="U13" s="170"/>
      <c r="V13" s="170">
        <f t="shared" si="9"/>
        <v>10836184320</v>
      </c>
      <c r="W13" s="170">
        <f t="shared" si="10"/>
        <v>258390912000</v>
      </c>
      <c r="X13" s="170">
        <f t="shared" si="11"/>
        <v>422760000</v>
      </c>
      <c r="Y13" s="171">
        <f t="shared" si="18"/>
        <v>336069150050.01044</v>
      </c>
      <c r="Z13" s="170">
        <f t="shared" si="12"/>
        <v>168034575025.00522</v>
      </c>
      <c r="AA13" s="171">
        <f t="shared" si="19"/>
        <v>42008643756.251305</v>
      </c>
      <c r="AB13" s="11">
        <f t="shared" si="13"/>
        <v>0.20965923230238434</v>
      </c>
    </row>
    <row r="14" spans="1:28" ht="12.75">
      <c r="A14" t="s">
        <v>541</v>
      </c>
      <c r="B14" t="s">
        <v>288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40">
        <v>4550688</v>
      </c>
      <c r="H14" s="105">
        <f t="shared" si="20"/>
        <v>591589.4400000001</v>
      </c>
      <c r="I14" s="171">
        <f t="shared" si="15"/>
        <v>2957947.2</v>
      </c>
      <c r="J14" s="27">
        <f t="shared" si="21"/>
        <v>1079650728</v>
      </c>
      <c r="K14" s="171">
        <f t="shared" si="2"/>
        <v>11510000000</v>
      </c>
      <c r="L14" s="171">
        <f t="shared" si="3"/>
        <v>77789.18400000001</v>
      </c>
      <c r="M14" s="171">
        <f t="shared" si="4"/>
        <v>227144417.28000003</v>
      </c>
      <c r="N14" s="171">
        <f t="shared" si="5"/>
        <v>2718.56992</v>
      </c>
      <c r="O14" s="171">
        <f t="shared" si="6"/>
        <v>21748.55936</v>
      </c>
      <c r="P14" s="224">
        <f t="shared" si="16"/>
        <v>7938224.1663999995</v>
      </c>
      <c r="Q14" s="171">
        <f t="shared" si="7"/>
        <v>10934.5</v>
      </c>
      <c r="R14" s="171">
        <f t="shared" si="17"/>
        <v>3991092.5</v>
      </c>
      <c r="S14" s="171">
        <f t="shared" si="8"/>
        <v>1559192974.4225354</v>
      </c>
      <c r="T14" s="171">
        <f t="shared" si="0"/>
        <v>18710315693.070427</v>
      </c>
      <c r="U14" s="171"/>
      <c r="V14" s="171">
        <f t="shared" si="9"/>
        <v>3540291840</v>
      </c>
      <c r="W14" s="171">
        <f t="shared" si="10"/>
        <v>84418944000</v>
      </c>
      <c r="X14" s="171">
        <f t="shared" si="11"/>
        <v>138120000</v>
      </c>
      <c r="Y14" s="171">
        <f t="shared" si="18"/>
        <v>108126395995.01683</v>
      </c>
      <c r="Z14" s="171">
        <f t="shared" si="12"/>
        <v>54063197997.508415</v>
      </c>
      <c r="AA14" s="171">
        <f t="shared" si="19"/>
        <v>13515799499.377104</v>
      </c>
      <c r="AB14">
        <f t="shared" si="13"/>
        <v>0.2128989853787498</v>
      </c>
    </row>
    <row r="15" spans="1:28" ht="12.75">
      <c r="A15" t="s">
        <v>542</v>
      </c>
      <c r="B15" t="s">
        <v>289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40">
        <v>3483372</v>
      </c>
      <c r="H15" s="105">
        <f t="shared" si="20"/>
        <v>452838.36000000004</v>
      </c>
      <c r="I15" s="171">
        <f t="shared" si="15"/>
        <v>2264191.8000000003</v>
      </c>
      <c r="J15" s="27">
        <f t="shared" si="21"/>
        <v>826430007.0000001</v>
      </c>
      <c r="K15" s="171">
        <f t="shared" si="2"/>
        <v>5330000000</v>
      </c>
      <c r="L15" s="171">
        <f t="shared" si="3"/>
        <v>36022.272000000004</v>
      </c>
      <c r="M15" s="171">
        <f t="shared" si="4"/>
        <v>105185034.24000001</v>
      </c>
      <c r="N15" s="171">
        <f t="shared" si="5"/>
        <v>1258.90336</v>
      </c>
      <c r="O15" s="171">
        <f t="shared" si="6"/>
        <v>10071.22688</v>
      </c>
      <c r="P15" s="224">
        <f t="shared" si="16"/>
        <v>3675997.8112</v>
      </c>
      <c r="Q15" s="171">
        <f t="shared" si="7"/>
        <v>5063.5</v>
      </c>
      <c r="R15" s="171">
        <f t="shared" si="17"/>
        <v>1848177.5</v>
      </c>
      <c r="S15" s="171">
        <f t="shared" si="8"/>
        <v>722024201.0140846</v>
      </c>
      <c r="T15" s="171">
        <f t="shared" si="0"/>
        <v>8664290412.169014</v>
      </c>
      <c r="U15" s="171"/>
      <c r="V15" s="171">
        <f t="shared" si="9"/>
        <v>1639422720</v>
      </c>
      <c r="W15" s="171">
        <f t="shared" si="10"/>
        <v>39092352000</v>
      </c>
      <c r="X15" s="171">
        <f t="shared" si="11"/>
        <v>63960000</v>
      </c>
      <c r="Y15" s="171">
        <f t="shared" si="18"/>
        <v>50397164348.720215</v>
      </c>
      <c r="Z15" s="171">
        <f t="shared" si="12"/>
        <v>25198582174.360107</v>
      </c>
      <c r="AA15" s="171">
        <f t="shared" si="19"/>
        <v>6299645543.590027</v>
      </c>
      <c r="AB15">
        <f t="shared" si="13"/>
        <v>0.21151983723208626</v>
      </c>
    </row>
    <row r="16" spans="1:28" ht="12.75">
      <c r="A16" t="s">
        <v>543</v>
      </c>
      <c r="B16" t="s">
        <v>290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40">
        <v>817491</v>
      </c>
      <c r="H16" s="105">
        <f t="shared" si="20"/>
        <v>106273.83</v>
      </c>
      <c r="I16" s="171">
        <f t="shared" si="15"/>
        <v>531369.15</v>
      </c>
      <c r="J16" s="27">
        <f t="shared" si="21"/>
        <v>193949739.75</v>
      </c>
      <c r="K16" s="171">
        <f t="shared" si="2"/>
        <v>550000000</v>
      </c>
      <c r="L16" s="171">
        <f t="shared" si="3"/>
        <v>3717.120000000001</v>
      </c>
      <c r="M16" s="171">
        <f t="shared" si="4"/>
        <v>10853990.400000002</v>
      </c>
      <c r="N16" s="171">
        <f t="shared" si="5"/>
        <v>129.90560000000002</v>
      </c>
      <c r="O16" s="171">
        <f t="shared" si="6"/>
        <v>1039.2448000000002</v>
      </c>
      <c r="P16" s="224">
        <f t="shared" si="16"/>
        <v>379324.3520000001</v>
      </c>
      <c r="Q16" s="171">
        <f t="shared" si="7"/>
        <v>522.5</v>
      </c>
      <c r="R16" s="171">
        <f t="shared" si="17"/>
        <v>190712.5</v>
      </c>
      <c r="S16" s="171">
        <f t="shared" si="8"/>
        <v>74505311.54929578</v>
      </c>
      <c r="T16" s="171">
        <f t="shared" si="0"/>
        <v>894063738.5915494</v>
      </c>
      <c r="U16" s="171"/>
      <c r="V16" s="171">
        <f t="shared" si="9"/>
        <v>169171200</v>
      </c>
      <c r="W16" s="171">
        <f t="shared" si="10"/>
        <v>4033920000</v>
      </c>
      <c r="X16" s="171">
        <f t="shared" si="11"/>
        <v>6600000</v>
      </c>
      <c r="Y16" s="171">
        <f t="shared" si="18"/>
        <v>5309128705.59355</v>
      </c>
      <c r="Z16" s="171">
        <f t="shared" si="12"/>
        <v>2654564352.796775</v>
      </c>
      <c r="AA16" s="171">
        <f t="shared" si="19"/>
        <v>663641088.1991937</v>
      </c>
      <c r="AB16">
        <f t="shared" si="13"/>
        <v>0.20719030579180925</v>
      </c>
    </row>
    <row r="17" spans="1:28" s="11" customFormat="1" ht="12.75">
      <c r="A17" t="s">
        <v>544</v>
      </c>
      <c r="B17" s="11" t="s">
        <v>291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40">
        <v>563384</v>
      </c>
      <c r="H17" s="105">
        <f t="shared" si="20"/>
        <v>73239.92</v>
      </c>
      <c r="I17" s="171">
        <f t="shared" si="15"/>
        <v>366199.6</v>
      </c>
      <c r="J17" s="27">
        <f t="shared" si="21"/>
        <v>133662853.99999999</v>
      </c>
      <c r="K17" s="170">
        <f t="shared" si="2"/>
        <v>330000000</v>
      </c>
      <c r="L17" s="170">
        <f t="shared" si="3"/>
        <v>2230.2720000000004</v>
      </c>
      <c r="M17" s="170">
        <f t="shared" si="4"/>
        <v>6512394.240000001</v>
      </c>
      <c r="N17" s="170">
        <f t="shared" si="5"/>
        <v>77.94336</v>
      </c>
      <c r="O17" s="170">
        <f t="shared" si="6"/>
        <v>623.54688</v>
      </c>
      <c r="P17" s="225">
        <f t="shared" si="16"/>
        <v>227594.61119999998</v>
      </c>
      <c r="Q17" s="170">
        <f t="shared" si="7"/>
        <v>313.5</v>
      </c>
      <c r="R17" s="170">
        <f t="shared" si="17"/>
        <v>114427.5</v>
      </c>
      <c r="S17" s="170">
        <f t="shared" si="8"/>
        <v>44703186.92957747</v>
      </c>
      <c r="T17" s="170">
        <f t="shared" si="0"/>
        <v>536438243.15492964</v>
      </c>
      <c r="U17" s="170"/>
      <c r="V17" s="170">
        <f t="shared" si="9"/>
        <v>101502720</v>
      </c>
      <c r="W17" s="170">
        <f t="shared" si="10"/>
        <v>2420352000</v>
      </c>
      <c r="X17" s="170">
        <f t="shared" si="11"/>
        <v>3960000</v>
      </c>
      <c r="Y17" s="171">
        <f t="shared" si="18"/>
        <v>3202770233.5061297</v>
      </c>
      <c r="Z17" s="170">
        <f t="shared" si="12"/>
        <v>1601385116.7530649</v>
      </c>
      <c r="AA17" s="171">
        <f t="shared" si="19"/>
        <v>400346279.1882662</v>
      </c>
      <c r="AB17" s="11">
        <f t="shared" si="13"/>
        <v>0.20607160423040594</v>
      </c>
    </row>
    <row r="18" spans="1:28" s="11" customFormat="1" ht="12.75">
      <c r="A18" t="s">
        <v>545</v>
      </c>
      <c r="B18" s="11" t="s">
        <v>292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40">
        <v>17019068</v>
      </c>
      <c r="H18" s="105">
        <f t="shared" si="20"/>
        <v>2212478.84</v>
      </c>
      <c r="I18" s="171">
        <f t="shared" si="15"/>
        <v>11062394.2</v>
      </c>
      <c r="J18" s="27">
        <f t="shared" si="21"/>
        <v>4037773882.9999995</v>
      </c>
      <c r="K18" s="170">
        <f t="shared" si="2"/>
        <v>18540000000</v>
      </c>
      <c r="L18" s="170">
        <f t="shared" si="3"/>
        <v>125300.73600000002</v>
      </c>
      <c r="M18" s="170">
        <f t="shared" si="4"/>
        <v>365878149.12000006</v>
      </c>
      <c r="N18" s="170">
        <f t="shared" si="5"/>
        <v>4378.99968</v>
      </c>
      <c r="O18" s="170">
        <f t="shared" si="6"/>
        <v>35031.99744</v>
      </c>
      <c r="P18" s="225">
        <f t="shared" si="16"/>
        <v>12786679.0656</v>
      </c>
      <c r="Q18" s="170">
        <f t="shared" si="7"/>
        <v>17613</v>
      </c>
      <c r="R18" s="170">
        <f t="shared" si="17"/>
        <v>6428745</v>
      </c>
      <c r="S18" s="170">
        <f t="shared" si="8"/>
        <v>2511506320.2253523</v>
      </c>
      <c r="T18" s="170">
        <f t="shared" si="0"/>
        <v>30138075842.704227</v>
      </c>
      <c r="U18" s="170"/>
      <c r="V18" s="170">
        <f t="shared" si="9"/>
        <v>5702607360</v>
      </c>
      <c r="W18" s="170">
        <f t="shared" si="10"/>
        <v>135979776000</v>
      </c>
      <c r="X18" s="170">
        <f t="shared" si="11"/>
        <v>222480000</v>
      </c>
      <c r="Y18" s="171">
        <f t="shared" si="18"/>
        <v>176465806658.88983</v>
      </c>
      <c r="Z18" s="170">
        <f t="shared" si="12"/>
        <v>88232903329.44492</v>
      </c>
      <c r="AA18" s="171">
        <f t="shared" si="19"/>
        <v>22058225832.36123</v>
      </c>
      <c r="AB18" s="11">
        <f t="shared" si="13"/>
        <v>0.21012569348166135</v>
      </c>
    </row>
    <row r="19" spans="1:28" s="11" customFormat="1" ht="12.75">
      <c r="A19" t="s">
        <v>546</v>
      </c>
      <c r="B19" s="11" t="s">
        <v>293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40">
        <v>8684715</v>
      </c>
      <c r="H19" s="105">
        <f t="shared" si="20"/>
        <v>1129012.95</v>
      </c>
      <c r="I19" s="171">
        <f t="shared" si="15"/>
        <v>5645064.75</v>
      </c>
      <c r="J19" s="27">
        <f t="shared" si="21"/>
        <v>2060448633.75</v>
      </c>
      <c r="K19" s="170">
        <f t="shared" si="2"/>
        <v>13300000000</v>
      </c>
      <c r="L19" s="170">
        <f t="shared" si="3"/>
        <v>89886.72000000002</v>
      </c>
      <c r="M19" s="170">
        <f t="shared" si="4"/>
        <v>262469222.40000004</v>
      </c>
      <c r="N19" s="170">
        <f t="shared" si="5"/>
        <v>3141.3536000000004</v>
      </c>
      <c r="O19" s="170">
        <f t="shared" si="6"/>
        <v>25130.828800000003</v>
      </c>
      <c r="P19" s="225">
        <f t="shared" si="16"/>
        <v>9172752.512000002</v>
      </c>
      <c r="Q19" s="170">
        <f t="shared" si="7"/>
        <v>12635</v>
      </c>
      <c r="R19" s="170">
        <f t="shared" si="17"/>
        <v>4611775</v>
      </c>
      <c r="S19" s="170">
        <f t="shared" si="8"/>
        <v>1801673897.464789</v>
      </c>
      <c r="T19" s="170">
        <f t="shared" si="0"/>
        <v>21620086769.57747</v>
      </c>
      <c r="U19" s="170"/>
      <c r="V19" s="170">
        <f t="shared" si="9"/>
        <v>4090867200</v>
      </c>
      <c r="W19" s="170">
        <f t="shared" si="10"/>
        <v>97547520000</v>
      </c>
      <c r="X19" s="170">
        <f t="shared" si="11"/>
        <v>159600000</v>
      </c>
      <c r="Y19" s="171">
        <f t="shared" si="18"/>
        <v>125754776353.23947</v>
      </c>
      <c r="Z19" s="170">
        <f t="shared" si="12"/>
        <v>62877388176.619736</v>
      </c>
      <c r="AA19" s="171">
        <f t="shared" si="19"/>
        <v>15719347044.154934</v>
      </c>
      <c r="AB19" s="11">
        <f t="shared" si="13"/>
        <v>0.21152278085471524</v>
      </c>
    </row>
    <row r="20" spans="1:28" ht="12.75">
      <c r="A20" t="s">
        <v>547</v>
      </c>
      <c r="B20" t="s">
        <v>294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40">
        <v>1257608</v>
      </c>
      <c r="H20" s="105">
        <f t="shared" si="20"/>
        <v>163489.04</v>
      </c>
      <c r="I20" s="171">
        <f t="shared" si="15"/>
        <v>817445.2000000001</v>
      </c>
      <c r="J20" s="27">
        <f t="shared" si="21"/>
        <v>298367498</v>
      </c>
      <c r="K20" s="171">
        <f t="shared" si="2"/>
        <v>700000000</v>
      </c>
      <c r="L20" s="171">
        <f t="shared" si="3"/>
        <v>4730.88</v>
      </c>
      <c r="M20" s="171">
        <f t="shared" si="4"/>
        <v>13814169.6</v>
      </c>
      <c r="N20" s="171">
        <f t="shared" si="5"/>
        <v>165.33440000000002</v>
      </c>
      <c r="O20" s="171">
        <f t="shared" si="6"/>
        <v>1322.6752000000001</v>
      </c>
      <c r="P20" s="224">
        <f t="shared" si="16"/>
        <v>482776.44800000003</v>
      </c>
      <c r="Q20" s="171">
        <f t="shared" si="7"/>
        <v>665</v>
      </c>
      <c r="R20" s="171">
        <f t="shared" si="17"/>
        <v>242725</v>
      </c>
      <c r="S20" s="171">
        <f t="shared" si="8"/>
        <v>94824941.971831</v>
      </c>
      <c r="T20" s="171">
        <f t="shared" si="0"/>
        <v>1137899303.661972</v>
      </c>
      <c r="U20" s="171"/>
      <c r="V20" s="171">
        <f t="shared" si="9"/>
        <v>215308800</v>
      </c>
      <c r="W20" s="171">
        <f t="shared" si="10"/>
        <v>5134080000</v>
      </c>
      <c r="X20" s="171">
        <f t="shared" si="11"/>
        <v>8400000</v>
      </c>
      <c r="Y20" s="171">
        <f t="shared" si="18"/>
        <v>6808595272.709972</v>
      </c>
      <c r="Z20" s="171">
        <f t="shared" si="12"/>
        <v>3404297636.354986</v>
      </c>
      <c r="AA20" s="171">
        <f t="shared" si="19"/>
        <v>851074409.0887465</v>
      </c>
      <c r="AB20">
        <f t="shared" si="13"/>
        <v>0.20562244397334678</v>
      </c>
    </row>
    <row r="21" spans="1:28" ht="12.75">
      <c r="A21" t="s">
        <v>548</v>
      </c>
      <c r="B21" t="s">
        <v>295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40">
        <v>1366332</v>
      </c>
      <c r="H21" s="105">
        <f t="shared" si="20"/>
        <v>177623.16</v>
      </c>
      <c r="I21" s="171">
        <f t="shared" si="15"/>
        <v>888115.8</v>
      </c>
      <c r="J21" s="27">
        <f t="shared" si="21"/>
        <v>324162267</v>
      </c>
      <c r="K21" s="171">
        <f t="shared" si="2"/>
        <v>6110000000</v>
      </c>
      <c r="L21" s="171">
        <f t="shared" si="3"/>
        <v>41293.824</v>
      </c>
      <c r="M21" s="171">
        <f t="shared" si="4"/>
        <v>120577966.08</v>
      </c>
      <c r="N21" s="171">
        <f t="shared" si="5"/>
        <v>1443.13312</v>
      </c>
      <c r="O21" s="171">
        <f t="shared" si="6"/>
        <v>11545.06496</v>
      </c>
      <c r="P21" s="224">
        <f t="shared" si="16"/>
        <v>4213948.7104</v>
      </c>
      <c r="Q21" s="171">
        <f t="shared" si="7"/>
        <v>5804.5</v>
      </c>
      <c r="R21" s="171">
        <f t="shared" si="17"/>
        <v>2118642.5</v>
      </c>
      <c r="S21" s="171">
        <f t="shared" si="8"/>
        <v>827686279.2112677</v>
      </c>
      <c r="T21" s="171">
        <f t="shared" si="0"/>
        <v>9932235350.535213</v>
      </c>
      <c r="U21" s="171"/>
      <c r="V21" s="171">
        <f t="shared" si="9"/>
        <v>1879338240</v>
      </c>
      <c r="W21" s="171">
        <f t="shared" si="10"/>
        <v>44813184000</v>
      </c>
      <c r="X21" s="171">
        <f t="shared" si="11"/>
        <v>73320000</v>
      </c>
      <c r="Y21" s="171">
        <f t="shared" si="18"/>
        <v>57149150414.825615</v>
      </c>
      <c r="Z21" s="171">
        <f t="shared" si="12"/>
        <v>28574575207.412807</v>
      </c>
      <c r="AA21" s="171">
        <f t="shared" si="19"/>
        <v>7143643801.853202</v>
      </c>
      <c r="AB21">
        <f t="shared" si="13"/>
        <v>0.2138264508098425</v>
      </c>
    </row>
    <row r="22" spans="1:28" s="11" customFormat="1" ht="12.75">
      <c r="A22" t="s">
        <v>549</v>
      </c>
      <c r="B22" s="11" t="s">
        <v>296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40">
        <v>12653544</v>
      </c>
      <c r="H22" s="105">
        <f t="shared" si="20"/>
        <v>1644960.72</v>
      </c>
      <c r="I22" s="171">
        <f t="shared" si="15"/>
        <v>8224803.6</v>
      </c>
      <c r="J22" s="27">
        <f t="shared" si="21"/>
        <v>3002053314</v>
      </c>
      <c r="K22" s="170">
        <f t="shared" si="2"/>
        <v>22560000000</v>
      </c>
      <c r="L22" s="170">
        <f t="shared" si="3"/>
        <v>152469.50400000002</v>
      </c>
      <c r="M22" s="170">
        <f t="shared" si="4"/>
        <v>445210951.68000007</v>
      </c>
      <c r="N22" s="170">
        <f t="shared" si="5"/>
        <v>5328.49152</v>
      </c>
      <c r="O22" s="170">
        <f t="shared" si="6"/>
        <v>42627.93216</v>
      </c>
      <c r="P22" s="225">
        <f t="shared" si="16"/>
        <v>15559195.2384</v>
      </c>
      <c r="Q22" s="170">
        <f t="shared" si="7"/>
        <v>21432</v>
      </c>
      <c r="R22" s="170">
        <f t="shared" si="17"/>
        <v>7822680</v>
      </c>
      <c r="S22" s="170">
        <f t="shared" si="8"/>
        <v>3056072415.5492964</v>
      </c>
      <c r="T22" s="170">
        <f t="shared" si="0"/>
        <v>36672868986.59155</v>
      </c>
      <c r="U22" s="170"/>
      <c r="V22" s="170">
        <f t="shared" si="9"/>
        <v>6939095040</v>
      </c>
      <c r="W22" s="170">
        <f t="shared" si="10"/>
        <v>165464064000</v>
      </c>
      <c r="X22" s="170">
        <f t="shared" si="11"/>
        <v>270720000</v>
      </c>
      <c r="Y22" s="171">
        <f t="shared" si="18"/>
        <v>212817394167.50995</v>
      </c>
      <c r="Z22" s="170">
        <f t="shared" si="12"/>
        <v>106408697083.75497</v>
      </c>
      <c r="AA22" s="171">
        <f t="shared" si="19"/>
        <v>26602174270.938744</v>
      </c>
      <c r="AB22" s="11">
        <f t="shared" si="13"/>
        <v>0.21201274537026685</v>
      </c>
    </row>
    <row r="23" spans="1:28" ht="12.75">
      <c r="A23" t="s">
        <v>550</v>
      </c>
      <c r="B23" t="s">
        <v>297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40">
        <v>6195643</v>
      </c>
      <c r="H23" s="105">
        <f t="shared" si="20"/>
        <v>805433.5900000001</v>
      </c>
      <c r="I23" s="171">
        <f t="shared" si="15"/>
        <v>4027167.95</v>
      </c>
      <c r="J23" s="27">
        <f t="shared" si="21"/>
        <v>1469916301.75</v>
      </c>
      <c r="K23" s="171">
        <f t="shared" si="2"/>
        <v>12730000000</v>
      </c>
      <c r="L23" s="171">
        <f t="shared" si="3"/>
        <v>86034.43200000002</v>
      </c>
      <c r="M23" s="172">
        <f t="shared" si="4"/>
        <v>251220541.44000006</v>
      </c>
      <c r="N23" s="171">
        <f t="shared" si="5"/>
        <v>3006.7241599999998</v>
      </c>
      <c r="O23" s="171">
        <f t="shared" si="6"/>
        <v>24053.793279999998</v>
      </c>
      <c r="P23" s="224">
        <f t="shared" si="16"/>
        <v>8779634.5472</v>
      </c>
      <c r="Q23" s="171">
        <f t="shared" si="7"/>
        <v>12093.5</v>
      </c>
      <c r="R23" s="171">
        <f t="shared" si="17"/>
        <v>4414127.5</v>
      </c>
      <c r="S23" s="171">
        <f t="shared" si="8"/>
        <v>1724459301.8591552</v>
      </c>
      <c r="T23" s="171">
        <f t="shared" si="0"/>
        <v>20693511622.30986</v>
      </c>
      <c r="U23" s="171"/>
      <c r="V23" s="171">
        <f t="shared" si="9"/>
        <v>3915544320</v>
      </c>
      <c r="W23" s="171">
        <f t="shared" si="10"/>
        <v>93366912000</v>
      </c>
      <c r="X23" s="171">
        <f t="shared" si="11"/>
        <v>152760000</v>
      </c>
      <c r="Y23" s="171">
        <f t="shared" si="18"/>
        <v>119863058547.54706</v>
      </c>
      <c r="Z23" s="171">
        <f t="shared" si="12"/>
        <v>59931529273.77353</v>
      </c>
      <c r="AA23" s="171">
        <f t="shared" si="19"/>
        <v>14982882318.443382</v>
      </c>
      <c r="AB23">
        <f t="shared" si="13"/>
        <v>0.21240906338044574</v>
      </c>
    </row>
    <row r="24" spans="1:28" ht="12.75">
      <c r="A24" t="s">
        <v>551</v>
      </c>
      <c r="B24" t="s">
        <v>298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40">
        <v>2944062</v>
      </c>
      <c r="H24" s="105">
        <f t="shared" si="20"/>
        <v>382728.06</v>
      </c>
      <c r="I24" s="171">
        <f t="shared" si="15"/>
        <v>1913640.3</v>
      </c>
      <c r="J24" s="27">
        <f t="shared" si="21"/>
        <v>698478709.5</v>
      </c>
      <c r="K24" s="171">
        <f t="shared" si="2"/>
        <v>7820000000</v>
      </c>
      <c r="L24" s="171">
        <f t="shared" si="3"/>
        <v>52850.688</v>
      </c>
      <c r="M24" s="171">
        <f t="shared" si="4"/>
        <v>154324008.96</v>
      </c>
      <c r="N24" s="171">
        <f t="shared" si="5"/>
        <v>1847.0214400000002</v>
      </c>
      <c r="O24" s="171">
        <f t="shared" si="6"/>
        <v>14776.171520000002</v>
      </c>
      <c r="P24" s="224">
        <f t="shared" si="16"/>
        <v>5393302.604800001</v>
      </c>
      <c r="Q24" s="171">
        <f t="shared" si="7"/>
        <v>7429</v>
      </c>
      <c r="R24" s="171">
        <f t="shared" si="17"/>
        <v>2711585</v>
      </c>
      <c r="S24" s="171">
        <f t="shared" si="8"/>
        <v>1059330066.0281692</v>
      </c>
      <c r="T24" s="171">
        <f t="shared" si="0"/>
        <v>12711960792.33803</v>
      </c>
      <c r="U24" s="171"/>
      <c r="V24" s="171">
        <f t="shared" si="9"/>
        <v>2405306880</v>
      </c>
      <c r="W24" s="171">
        <f t="shared" si="10"/>
        <v>57355008000</v>
      </c>
      <c r="X24" s="171">
        <f t="shared" si="11"/>
        <v>93840000</v>
      </c>
      <c r="Y24" s="171">
        <f t="shared" si="18"/>
        <v>73427023278.40283</v>
      </c>
      <c r="Z24" s="171">
        <f t="shared" si="12"/>
        <v>36713511639.201416</v>
      </c>
      <c r="AA24" s="171">
        <f t="shared" si="19"/>
        <v>9178377909.800354</v>
      </c>
      <c r="AB24">
        <f t="shared" si="13"/>
        <v>0.2130005998023375</v>
      </c>
    </row>
    <row r="25" spans="1:28" ht="12.75">
      <c r="A25" t="s">
        <v>552</v>
      </c>
      <c r="B25" t="s">
        <v>299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40">
        <v>2723507</v>
      </c>
      <c r="H25" s="105">
        <f t="shared" si="20"/>
        <v>354055.91000000003</v>
      </c>
      <c r="I25" s="171">
        <f t="shared" si="15"/>
        <v>1770279.5500000003</v>
      </c>
      <c r="J25" s="27">
        <f t="shared" si="21"/>
        <v>646152035.7500001</v>
      </c>
      <c r="K25" s="171">
        <f t="shared" si="2"/>
        <v>9700000000</v>
      </c>
      <c r="L25" s="171">
        <f t="shared" si="3"/>
        <v>65556.48000000001</v>
      </c>
      <c r="M25" s="171">
        <f t="shared" si="4"/>
        <v>191424921.60000002</v>
      </c>
      <c r="N25" s="171">
        <f t="shared" si="5"/>
        <v>2291.0624000000003</v>
      </c>
      <c r="O25" s="171">
        <f t="shared" si="6"/>
        <v>18328.499200000002</v>
      </c>
      <c r="P25" s="224">
        <f t="shared" si="16"/>
        <v>6689902.208000001</v>
      </c>
      <c r="Q25" s="171">
        <f t="shared" si="7"/>
        <v>9215</v>
      </c>
      <c r="R25" s="171">
        <f t="shared" si="17"/>
        <v>3363475</v>
      </c>
      <c r="S25" s="171">
        <f t="shared" si="8"/>
        <v>1314002767.3239439</v>
      </c>
      <c r="T25" s="171">
        <f t="shared" si="0"/>
        <v>15768033207.887325</v>
      </c>
      <c r="U25" s="171"/>
      <c r="V25" s="171">
        <f t="shared" si="9"/>
        <v>2983564800</v>
      </c>
      <c r="W25" s="171">
        <f t="shared" si="10"/>
        <v>71143680000</v>
      </c>
      <c r="X25" s="171">
        <f t="shared" si="11"/>
        <v>116400000</v>
      </c>
      <c r="Y25" s="171">
        <f t="shared" si="18"/>
        <v>90859308342.44533</v>
      </c>
      <c r="Z25" s="171">
        <f t="shared" si="12"/>
        <v>45429654171.222664</v>
      </c>
      <c r="AA25" s="171">
        <f t="shared" si="19"/>
        <v>11357413542.805666</v>
      </c>
      <c r="AB25">
        <f t="shared" si="13"/>
        <v>0.21351692362528368</v>
      </c>
    </row>
    <row r="26" spans="1:28" ht="12.75">
      <c r="A26" t="s">
        <v>553</v>
      </c>
      <c r="B26" t="s">
        <v>300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40">
        <v>4117827</v>
      </c>
      <c r="H26" s="105">
        <f t="shared" si="20"/>
        <v>535317.51</v>
      </c>
      <c r="I26" s="171">
        <f t="shared" si="15"/>
        <v>2676587.55</v>
      </c>
      <c r="J26" s="27">
        <f t="shared" si="21"/>
        <v>976954455.7499999</v>
      </c>
      <c r="K26" s="171">
        <f t="shared" si="2"/>
        <v>8520000000</v>
      </c>
      <c r="L26" s="171">
        <f t="shared" si="3"/>
        <v>57581.56800000001</v>
      </c>
      <c r="M26" s="171">
        <f t="shared" si="4"/>
        <v>168138178.56000003</v>
      </c>
      <c r="N26" s="171">
        <f t="shared" si="5"/>
        <v>2012.35584</v>
      </c>
      <c r="O26" s="171">
        <f t="shared" si="6"/>
        <v>16098.84672</v>
      </c>
      <c r="P26" s="224">
        <f t="shared" si="16"/>
        <v>5876079.0528</v>
      </c>
      <c r="Q26" s="171">
        <f t="shared" si="7"/>
        <v>8094</v>
      </c>
      <c r="R26" s="171">
        <f t="shared" si="17"/>
        <v>2954310</v>
      </c>
      <c r="S26" s="171">
        <f t="shared" si="8"/>
        <v>1154155008.0000002</v>
      </c>
      <c r="T26" s="171">
        <f t="shared" si="0"/>
        <v>13849860096.000004</v>
      </c>
      <c r="U26" s="171"/>
      <c r="V26" s="171">
        <f t="shared" si="9"/>
        <v>2620615680</v>
      </c>
      <c r="W26" s="171">
        <f t="shared" si="10"/>
        <v>62489088000</v>
      </c>
      <c r="X26" s="171">
        <f t="shared" si="11"/>
        <v>102240000</v>
      </c>
      <c r="Y26" s="171">
        <f t="shared" si="18"/>
        <v>80215726799.36281</v>
      </c>
      <c r="Z26" s="171">
        <f t="shared" si="12"/>
        <v>40107863399.681404</v>
      </c>
      <c r="AA26" s="171">
        <f t="shared" si="19"/>
        <v>10026965849.920351</v>
      </c>
      <c r="AB26">
        <f t="shared" si="13"/>
        <v>0.21242717207587972</v>
      </c>
    </row>
    <row r="27" spans="1:28" ht="12.75">
      <c r="A27" t="s">
        <v>554</v>
      </c>
      <c r="B27" t="s">
        <v>301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40">
        <v>4496334</v>
      </c>
      <c r="H27" s="105">
        <f t="shared" si="20"/>
        <v>584523.42</v>
      </c>
      <c r="I27" s="171">
        <f t="shared" si="15"/>
        <v>2922617.1</v>
      </c>
      <c r="J27" s="27">
        <f t="shared" si="21"/>
        <v>1066755241.5</v>
      </c>
      <c r="K27" s="171">
        <f t="shared" si="2"/>
        <v>9420000000</v>
      </c>
      <c r="L27" s="171">
        <f t="shared" si="3"/>
        <v>63664.128000000004</v>
      </c>
      <c r="M27" s="171">
        <f t="shared" si="4"/>
        <v>185899253.76000002</v>
      </c>
      <c r="N27" s="171">
        <f t="shared" si="5"/>
        <v>2224.92864</v>
      </c>
      <c r="O27" s="171">
        <f t="shared" si="6"/>
        <v>17799.42912</v>
      </c>
      <c r="P27" s="224">
        <f t="shared" si="16"/>
        <v>6496791.6288</v>
      </c>
      <c r="Q27" s="171">
        <f t="shared" si="7"/>
        <v>8949</v>
      </c>
      <c r="R27" s="171">
        <f t="shared" si="17"/>
        <v>3266385</v>
      </c>
      <c r="S27" s="171">
        <f t="shared" si="8"/>
        <v>1276072790.5352113</v>
      </c>
      <c r="T27" s="171">
        <f t="shared" si="0"/>
        <v>15312873486.422535</v>
      </c>
      <c r="U27" s="171"/>
      <c r="V27" s="171">
        <f t="shared" si="9"/>
        <v>2897441280</v>
      </c>
      <c r="W27" s="171">
        <f t="shared" si="10"/>
        <v>69090048000</v>
      </c>
      <c r="X27" s="171">
        <f t="shared" si="11"/>
        <v>113040000</v>
      </c>
      <c r="Y27" s="171">
        <f t="shared" si="18"/>
        <v>88675820438.31134</v>
      </c>
      <c r="Z27" s="171">
        <f t="shared" si="12"/>
        <v>44337910219.15567</v>
      </c>
      <c r="AA27" s="171">
        <f t="shared" si="19"/>
        <v>11084477554.788918</v>
      </c>
      <c r="AB27">
        <f t="shared" si="13"/>
        <v>0.21245926913195382</v>
      </c>
    </row>
    <row r="28" spans="1:28" ht="12.75">
      <c r="A28" t="s">
        <v>555</v>
      </c>
      <c r="B28" t="s">
        <v>302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40">
        <v>1305728</v>
      </c>
      <c r="H28" s="105">
        <f t="shared" si="20"/>
        <v>169744.64</v>
      </c>
      <c r="I28" s="171">
        <f t="shared" si="15"/>
        <v>848723.2000000001</v>
      </c>
      <c r="J28" s="27">
        <f t="shared" si="21"/>
        <v>309783968</v>
      </c>
      <c r="K28" s="171">
        <f t="shared" si="2"/>
        <v>3800000000</v>
      </c>
      <c r="L28" s="171">
        <f t="shared" si="3"/>
        <v>25681.920000000002</v>
      </c>
      <c r="M28" s="171">
        <f t="shared" si="4"/>
        <v>74991206.4</v>
      </c>
      <c r="N28" s="171">
        <f t="shared" si="5"/>
        <v>897.5296000000001</v>
      </c>
      <c r="O28" s="171">
        <f t="shared" si="6"/>
        <v>7180.236800000001</v>
      </c>
      <c r="P28" s="224">
        <f t="shared" si="16"/>
        <v>2620786.432</v>
      </c>
      <c r="Q28" s="171">
        <f t="shared" si="7"/>
        <v>3610</v>
      </c>
      <c r="R28" s="171">
        <f t="shared" si="17"/>
        <v>1317650</v>
      </c>
      <c r="S28" s="171">
        <f t="shared" si="8"/>
        <v>514763970.7042254</v>
      </c>
      <c r="T28" s="171">
        <f t="shared" si="0"/>
        <v>6177167648.450705</v>
      </c>
      <c r="U28" s="171"/>
      <c r="V28" s="171">
        <f t="shared" si="9"/>
        <v>1168819200</v>
      </c>
      <c r="W28" s="171">
        <f t="shared" si="10"/>
        <v>27870720000</v>
      </c>
      <c r="X28" s="171">
        <f t="shared" si="11"/>
        <v>45600000</v>
      </c>
      <c r="Y28" s="171">
        <f t="shared" si="18"/>
        <v>35651020459.28271</v>
      </c>
      <c r="Z28" s="171">
        <f t="shared" si="12"/>
        <v>17825510229.641354</v>
      </c>
      <c r="AA28" s="171">
        <f t="shared" si="19"/>
        <v>4456377557.410338</v>
      </c>
      <c r="AB28">
        <f t="shared" si="13"/>
        <v>0.2131776286370264</v>
      </c>
    </row>
    <row r="29" spans="1:28" ht="12.75">
      <c r="A29" t="s">
        <v>556</v>
      </c>
      <c r="B29" t="s">
        <v>303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40">
        <v>5508909</v>
      </c>
      <c r="H29" s="105">
        <f t="shared" si="20"/>
        <v>716158.17</v>
      </c>
      <c r="I29" s="171">
        <f t="shared" si="15"/>
        <v>3580790.85</v>
      </c>
      <c r="J29" s="27">
        <f t="shared" si="21"/>
        <v>1306988660.25</v>
      </c>
      <c r="K29" s="171">
        <f t="shared" si="2"/>
        <v>6770000000</v>
      </c>
      <c r="L29" s="171">
        <f t="shared" si="3"/>
        <v>45754.368</v>
      </c>
      <c r="M29" s="171">
        <f t="shared" si="4"/>
        <v>133602754.56</v>
      </c>
      <c r="N29" s="171">
        <f t="shared" si="5"/>
        <v>1599.01984</v>
      </c>
      <c r="O29" s="171">
        <f t="shared" si="6"/>
        <v>12792.15872</v>
      </c>
      <c r="P29" s="224">
        <f t="shared" si="16"/>
        <v>4669137.9328</v>
      </c>
      <c r="Q29" s="171">
        <f t="shared" si="7"/>
        <v>6431.5</v>
      </c>
      <c r="R29" s="171">
        <f t="shared" si="17"/>
        <v>2347497.5</v>
      </c>
      <c r="S29" s="171">
        <f t="shared" si="8"/>
        <v>917092653.0704226</v>
      </c>
      <c r="T29" s="171">
        <f t="shared" si="0"/>
        <v>11005111836.845072</v>
      </c>
      <c r="U29" s="171"/>
      <c r="V29" s="171">
        <f t="shared" si="9"/>
        <v>2082343680</v>
      </c>
      <c r="W29" s="171">
        <f t="shared" si="10"/>
        <v>49653888000</v>
      </c>
      <c r="X29" s="171">
        <f t="shared" si="11"/>
        <v>81240000</v>
      </c>
      <c r="Y29" s="171">
        <f t="shared" si="18"/>
        <v>64270191567.087875</v>
      </c>
      <c r="Z29" s="171">
        <f t="shared" si="12"/>
        <v>32135095783.543938</v>
      </c>
      <c r="AA29" s="171">
        <f t="shared" si="19"/>
        <v>8033773945.885984</v>
      </c>
      <c r="AB29">
        <f t="shared" si="13"/>
        <v>0.2106730922976383</v>
      </c>
    </row>
    <row r="30" spans="1:28" ht="12.75">
      <c r="A30" t="s">
        <v>557</v>
      </c>
      <c r="B30" t="s">
        <v>304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40">
        <v>6433422</v>
      </c>
      <c r="H30" s="105">
        <f t="shared" si="20"/>
        <v>836344.86</v>
      </c>
      <c r="I30" s="171">
        <f t="shared" si="15"/>
        <v>4181724.3</v>
      </c>
      <c r="J30" s="27">
        <f t="shared" si="21"/>
        <v>1526329369.5</v>
      </c>
      <c r="K30" s="171">
        <f t="shared" si="2"/>
        <v>7720000000</v>
      </c>
      <c r="L30" s="171">
        <f t="shared" si="3"/>
        <v>52174.848000000005</v>
      </c>
      <c r="M30" s="171">
        <f t="shared" si="4"/>
        <v>152350556.16000003</v>
      </c>
      <c r="N30" s="171">
        <f t="shared" si="5"/>
        <v>1823.40224</v>
      </c>
      <c r="O30" s="171">
        <f t="shared" si="6"/>
        <v>14587.21792</v>
      </c>
      <c r="P30" s="224">
        <f t="shared" si="16"/>
        <v>5324334.5408</v>
      </c>
      <c r="Q30" s="171">
        <f t="shared" si="7"/>
        <v>7334</v>
      </c>
      <c r="R30" s="171">
        <f t="shared" si="17"/>
        <v>2676910</v>
      </c>
      <c r="S30" s="171">
        <f t="shared" si="8"/>
        <v>1045783645.746479</v>
      </c>
      <c r="T30" s="171">
        <f t="shared" si="0"/>
        <v>12549403748.957748</v>
      </c>
      <c r="U30" s="171"/>
      <c r="V30" s="171">
        <f t="shared" si="9"/>
        <v>2374548480</v>
      </c>
      <c r="W30" s="171">
        <f t="shared" si="10"/>
        <v>56621568000</v>
      </c>
      <c r="X30" s="171">
        <f t="shared" si="11"/>
        <v>92640000</v>
      </c>
      <c r="Y30" s="171">
        <f t="shared" si="18"/>
        <v>73324841399.15855</v>
      </c>
      <c r="Z30" s="171">
        <f t="shared" si="12"/>
        <v>36662420699.57928</v>
      </c>
      <c r="AA30" s="171">
        <f t="shared" si="19"/>
        <v>9165605174.89482</v>
      </c>
      <c r="AB30">
        <f t="shared" si="13"/>
        <v>0.21056983834372375</v>
      </c>
    </row>
    <row r="31" spans="1:28" s="11" customFormat="1" ht="12.75">
      <c r="A31" t="s">
        <v>558</v>
      </c>
      <c r="B31" s="11" t="s">
        <v>305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40">
        <v>10079985</v>
      </c>
      <c r="H31" s="105">
        <f t="shared" si="20"/>
        <v>1310398.05</v>
      </c>
      <c r="I31" s="171">
        <f t="shared" si="15"/>
        <v>6551990.25</v>
      </c>
      <c r="J31" s="27">
        <f t="shared" si="21"/>
        <v>2391476441.25</v>
      </c>
      <c r="K31" s="170">
        <f t="shared" si="2"/>
        <v>14560000000</v>
      </c>
      <c r="L31" s="170">
        <f t="shared" si="3"/>
        <v>98402.304</v>
      </c>
      <c r="M31" s="170">
        <f t="shared" si="4"/>
        <v>287334727.68</v>
      </c>
      <c r="N31" s="170">
        <f t="shared" si="5"/>
        <v>3438.9555200000004</v>
      </c>
      <c r="O31" s="170">
        <f t="shared" si="6"/>
        <v>27511.644160000003</v>
      </c>
      <c r="P31" s="225">
        <f t="shared" si="16"/>
        <v>10041750.118400002</v>
      </c>
      <c r="Q31" s="170">
        <f t="shared" si="7"/>
        <v>13832</v>
      </c>
      <c r="R31" s="170">
        <f t="shared" si="17"/>
        <v>5048680</v>
      </c>
      <c r="S31" s="170">
        <f t="shared" si="8"/>
        <v>1972358793.0140848</v>
      </c>
      <c r="T31" s="170">
        <f t="shared" si="0"/>
        <v>23668305516.169018</v>
      </c>
      <c r="U31" s="170"/>
      <c r="V31" s="170">
        <f t="shared" si="9"/>
        <v>4478423040</v>
      </c>
      <c r="W31" s="170">
        <f t="shared" si="10"/>
        <v>106788864000</v>
      </c>
      <c r="X31" s="170">
        <f t="shared" si="11"/>
        <v>174720000</v>
      </c>
      <c r="Y31" s="171">
        <f t="shared" si="18"/>
        <v>137804214155.2174</v>
      </c>
      <c r="Z31" s="170">
        <f t="shared" si="12"/>
        <v>68902107077.6087</v>
      </c>
      <c r="AA31" s="171">
        <f t="shared" si="19"/>
        <v>17225526769.402176</v>
      </c>
      <c r="AB31" s="11">
        <f t="shared" si="13"/>
        <v>0.21131429237135188</v>
      </c>
    </row>
    <row r="32" spans="1:28" ht="12.75">
      <c r="A32" t="s">
        <v>559</v>
      </c>
      <c r="B32" t="s">
        <v>306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40">
        <v>5059375</v>
      </c>
      <c r="H32" s="105">
        <f t="shared" si="20"/>
        <v>657718.75</v>
      </c>
      <c r="I32" s="171">
        <f t="shared" si="15"/>
        <v>3288593.75</v>
      </c>
      <c r="J32" s="27">
        <f t="shared" si="21"/>
        <v>1200336718.75</v>
      </c>
      <c r="K32" s="171">
        <f t="shared" si="2"/>
        <v>10580000000</v>
      </c>
      <c r="L32" s="171">
        <f t="shared" si="3"/>
        <v>71503.87200000002</v>
      </c>
      <c r="M32" s="171">
        <f t="shared" si="4"/>
        <v>208791306.24000004</v>
      </c>
      <c r="N32" s="171">
        <f t="shared" si="5"/>
        <v>2498.91136</v>
      </c>
      <c r="O32" s="171">
        <f t="shared" si="6"/>
        <v>19991.29088</v>
      </c>
      <c r="P32" s="224">
        <f t="shared" si="16"/>
        <v>7296821.1712</v>
      </c>
      <c r="Q32" s="171">
        <f t="shared" si="7"/>
        <v>10051</v>
      </c>
      <c r="R32" s="171">
        <f t="shared" si="17"/>
        <v>3668615</v>
      </c>
      <c r="S32" s="171">
        <f t="shared" si="8"/>
        <v>1433211265.802817</v>
      </c>
      <c r="T32" s="171">
        <f t="shared" si="0"/>
        <v>17198535189.633804</v>
      </c>
      <c r="U32" s="171"/>
      <c r="V32" s="171">
        <f t="shared" si="9"/>
        <v>3254238720</v>
      </c>
      <c r="W32" s="171">
        <f t="shared" si="10"/>
        <v>77597952000</v>
      </c>
      <c r="X32" s="171">
        <f t="shared" si="11"/>
        <v>126960000</v>
      </c>
      <c r="Y32" s="171">
        <f t="shared" si="18"/>
        <v>99597779370.79501</v>
      </c>
      <c r="Z32" s="171">
        <f t="shared" si="12"/>
        <v>49798889685.39751</v>
      </c>
      <c r="AA32" s="171">
        <f t="shared" si="19"/>
        <v>12449722421.349377</v>
      </c>
      <c r="AB32">
        <f t="shared" si="13"/>
        <v>0.21245453597135852</v>
      </c>
    </row>
    <row r="33" spans="1:28" s="11" customFormat="1" ht="12.75">
      <c r="A33" t="s">
        <v>560</v>
      </c>
      <c r="B33" s="11" t="s">
        <v>307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40">
        <v>2881281</v>
      </c>
      <c r="H33" s="105">
        <f t="shared" si="20"/>
        <v>374566.53</v>
      </c>
      <c r="I33" s="171">
        <f t="shared" si="15"/>
        <v>1872832.6500000001</v>
      </c>
      <c r="J33" s="27">
        <f t="shared" si="21"/>
        <v>683583917.25</v>
      </c>
      <c r="K33" s="170">
        <f t="shared" si="2"/>
        <v>7210000000</v>
      </c>
      <c r="L33" s="170">
        <f t="shared" si="3"/>
        <v>48728.064000000006</v>
      </c>
      <c r="M33" s="170">
        <f t="shared" si="4"/>
        <v>142285946.88000003</v>
      </c>
      <c r="N33" s="170">
        <f t="shared" si="5"/>
        <v>1702.9443199999998</v>
      </c>
      <c r="O33" s="170">
        <f t="shared" si="6"/>
        <v>13623.554559999999</v>
      </c>
      <c r="P33" s="225">
        <f t="shared" si="16"/>
        <v>4972597.414399999</v>
      </c>
      <c r="Q33" s="170">
        <f t="shared" si="7"/>
        <v>6849.5</v>
      </c>
      <c r="R33" s="170">
        <f t="shared" si="17"/>
        <v>2500067.5</v>
      </c>
      <c r="S33" s="170">
        <f t="shared" si="8"/>
        <v>976696902.3098593</v>
      </c>
      <c r="T33" s="170">
        <f t="shared" si="0"/>
        <v>11720362827.718311</v>
      </c>
      <c r="U33" s="170"/>
      <c r="V33" s="170">
        <f t="shared" si="9"/>
        <v>2217680640</v>
      </c>
      <c r="W33" s="170">
        <f t="shared" si="10"/>
        <v>52881024000</v>
      </c>
      <c r="X33" s="170">
        <f t="shared" si="11"/>
        <v>86520000</v>
      </c>
      <c r="Y33" s="171">
        <f t="shared" si="18"/>
        <v>67738929996.76271</v>
      </c>
      <c r="Z33" s="170">
        <f t="shared" si="12"/>
        <v>33869464998.381355</v>
      </c>
      <c r="AA33" s="171">
        <f t="shared" si="19"/>
        <v>8467366249.595339</v>
      </c>
      <c r="AB33" s="11">
        <f t="shared" si="13"/>
        <v>0.21287611128031017</v>
      </c>
    </row>
    <row r="34" spans="1:28" ht="12.75">
      <c r="A34" t="s">
        <v>561</v>
      </c>
      <c r="B34" t="s">
        <v>308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40">
        <v>5704484</v>
      </c>
      <c r="H34" s="105">
        <f t="shared" si="20"/>
        <v>741582.92</v>
      </c>
      <c r="I34" s="171">
        <f t="shared" si="15"/>
        <v>3707914.6</v>
      </c>
      <c r="J34" s="27">
        <f t="shared" si="21"/>
        <v>1353388829</v>
      </c>
      <c r="K34" s="171">
        <f t="shared" si="2"/>
        <v>14690000000</v>
      </c>
      <c r="L34" s="171">
        <f t="shared" si="3"/>
        <v>99280.89600000001</v>
      </c>
      <c r="M34" s="171">
        <f t="shared" si="4"/>
        <v>289900216.32000005</v>
      </c>
      <c r="N34" s="171">
        <f t="shared" si="5"/>
        <v>3469.6604800000005</v>
      </c>
      <c r="O34" s="171">
        <f t="shared" si="6"/>
        <v>27757.283840000004</v>
      </c>
      <c r="P34" s="224">
        <f t="shared" si="16"/>
        <v>10131408.6016</v>
      </c>
      <c r="Q34" s="171">
        <f t="shared" si="7"/>
        <v>13955.5</v>
      </c>
      <c r="R34" s="171">
        <f t="shared" si="17"/>
        <v>5093757.5</v>
      </c>
      <c r="S34" s="171">
        <f t="shared" si="8"/>
        <v>1989969139.380282</v>
      </c>
      <c r="T34" s="171">
        <f t="shared" si="0"/>
        <v>23879629672.563385</v>
      </c>
      <c r="U34" s="171"/>
      <c r="V34" s="171">
        <f t="shared" si="9"/>
        <v>4518408960</v>
      </c>
      <c r="W34" s="171">
        <f t="shared" si="10"/>
        <v>107742336000</v>
      </c>
      <c r="X34" s="171">
        <f t="shared" si="11"/>
        <v>176280000</v>
      </c>
      <c r="Y34" s="171">
        <f t="shared" si="18"/>
        <v>137975168843.985</v>
      </c>
      <c r="Z34" s="171">
        <f t="shared" si="12"/>
        <v>68987584421.9925</v>
      </c>
      <c r="AA34" s="171">
        <f t="shared" si="19"/>
        <v>17246896105.498123</v>
      </c>
      <c r="AB34">
        <f t="shared" si="13"/>
        <v>0.2129368657140137</v>
      </c>
    </row>
    <row r="35" spans="1:28" ht="12.75">
      <c r="A35" t="s">
        <v>562</v>
      </c>
      <c r="B35" t="s">
        <v>309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40">
        <v>917621</v>
      </c>
      <c r="H35" s="105">
        <f t="shared" si="20"/>
        <v>119290.73000000001</v>
      </c>
      <c r="I35" s="171">
        <f t="shared" si="15"/>
        <v>596453.65</v>
      </c>
      <c r="J35" s="27">
        <f t="shared" si="21"/>
        <v>217705582.25</v>
      </c>
      <c r="K35" s="171">
        <f t="shared" si="2"/>
        <v>11910000000</v>
      </c>
      <c r="L35" s="171">
        <f t="shared" si="3"/>
        <v>80492.54400000001</v>
      </c>
      <c r="M35" s="171">
        <f t="shared" si="4"/>
        <v>235038228.48000002</v>
      </c>
      <c r="N35" s="171">
        <f t="shared" si="5"/>
        <v>2813.0467200000003</v>
      </c>
      <c r="O35" s="171">
        <f t="shared" si="6"/>
        <v>22504.373760000002</v>
      </c>
      <c r="P35" s="224">
        <f t="shared" si="16"/>
        <v>8214096.4224000005</v>
      </c>
      <c r="Q35" s="171">
        <f t="shared" si="7"/>
        <v>11314.5</v>
      </c>
      <c r="R35" s="171">
        <f t="shared" si="17"/>
        <v>4129792.5</v>
      </c>
      <c r="S35" s="171">
        <f t="shared" si="8"/>
        <v>1613378655.549296</v>
      </c>
      <c r="T35" s="171">
        <f t="shared" si="0"/>
        <v>19360543866.591553</v>
      </c>
      <c r="U35" s="171"/>
      <c r="V35" s="171">
        <f t="shared" si="9"/>
        <v>3663325440</v>
      </c>
      <c r="W35" s="171">
        <f t="shared" si="10"/>
        <v>87352704000</v>
      </c>
      <c r="X35" s="171">
        <f t="shared" si="11"/>
        <v>142920000</v>
      </c>
      <c r="Y35" s="171">
        <f t="shared" si="18"/>
        <v>110984581006.24396</v>
      </c>
      <c r="Z35" s="171">
        <f t="shared" si="12"/>
        <v>55492290503.12198</v>
      </c>
      <c r="AA35" s="171">
        <f t="shared" si="19"/>
        <v>13873072625.780495</v>
      </c>
      <c r="AB35">
        <f t="shared" si="13"/>
        <v>0.21462440803970684</v>
      </c>
    </row>
    <row r="36" spans="1:28" ht="12.75">
      <c r="A36" t="s">
        <v>563</v>
      </c>
      <c r="B36" t="s">
        <v>310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40">
        <v>1739291</v>
      </c>
      <c r="H36" s="105">
        <f t="shared" si="20"/>
        <v>226107.83000000002</v>
      </c>
      <c r="I36" s="171">
        <f t="shared" si="15"/>
        <v>1130539.1500000001</v>
      </c>
      <c r="J36" s="27">
        <f t="shared" si="21"/>
        <v>412646789.75000006</v>
      </c>
      <c r="K36" s="171">
        <f t="shared" si="2"/>
        <v>4990000000</v>
      </c>
      <c r="L36" s="171">
        <f t="shared" si="3"/>
        <v>33724.416000000005</v>
      </c>
      <c r="M36" s="171">
        <f t="shared" si="4"/>
        <v>98475294.72000001</v>
      </c>
      <c r="N36" s="171">
        <f t="shared" si="5"/>
        <v>1178.59808</v>
      </c>
      <c r="O36" s="171">
        <f t="shared" si="6"/>
        <v>9428.78464</v>
      </c>
      <c r="P36" s="224">
        <f t="shared" si="16"/>
        <v>3441506.3936</v>
      </c>
      <c r="Q36" s="171">
        <f t="shared" si="7"/>
        <v>4740.5</v>
      </c>
      <c r="R36" s="171">
        <f t="shared" si="17"/>
        <v>1730282.5</v>
      </c>
      <c r="S36" s="171">
        <f t="shared" si="8"/>
        <v>675966372.0563381</v>
      </c>
      <c r="T36" s="171">
        <f t="shared" si="0"/>
        <v>8111596464.676057</v>
      </c>
      <c r="U36" s="171"/>
      <c r="V36" s="171">
        <f t="shared" si="9"/>
        <v>1534844160</v>
      </c>
      <c r="W36" s="171">
        <f t="shared" si="10"/>
        <v>36598656000</v>
      </c>
      <c r="X36" s="171">
        <f t="shared" si="11"/>
        <v>59880000</v>
      </c>
      <c r="Y36" s="171">
        <f t="shared" si="18"/>
        <v>46821270498.03966</v>
      </c>
      <c r="Z36" s="171">
        <f t="shared" si="12"/>
        <v>23410635249.01983</v>
      </c>
      <c r="AA36" s="171">
        <f t="shared" si="19"/>
        <v>5852658812.254957</v>
      </c>
      <c r="AB36">
        <f t="shared" si="13"/>
        <v>0.21315098658883785</v>
      </c>
    </row>
    <row r="37" spans="1:28" ht="12.75">
      <c r="A37" t="s">
        <v>564</v>
      </c>
      <c r="B37" t="s">
        <v>311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40">
        <v>2241154</v>
      </c>
      <c r="H37" s="105">
        <f t="shared" si="20"/>
        <v>291350.02</v>
      </c>
      <c r="I37" s="171">
        <f t="shared" si="15"/>
        <v>1456750.1</v>
      </c>
      <c r="J37" s="27">
        <f t="shared" si="21"/>
        <v>531713786.50000006</v>
      </c>
      <c r="K37" s="171">
        <f t="shared" si="2"/>
        <v>6000000000</v>
      </c>
      <c r="L37" s="171">
        <f t="shared" si="3"/>
        <v>40550.4</v>
      </c>
      <c r="M37" s="171">
        <f t="shared" si="4"/>
        <v>118407168</v>
      </c>
      <c r="N37" s="171">
        <f t="shared" si="5"/>
        <v>1417.152</v>
      </c>
      <c r="O37" s="171">
        <f t="shared" si="6"/>
        <v>11337.216</v>
      </c>
      <c r="P37" s="224">
        <f t="shared" si="16"/>
        <v>4138083.8400000003</v>
      </c>
      <c r="Q37" s="171">
        <f t="shared" si="7"/>
        <v>5700</v>
      </c>
      <c r="R37" s="171">
        <f t="shared" si="17"/>
        <v>2080500</v>
      </c>
      <c r="S37" s="171">
        <f t="shared" si="8"/>
        <v>812785216.9014086</v>
      </c>
      <c r="T37" s="171">
        <f t="shared" si="0"/>
        <v>9753422602.816902</v>
      </c>
      <c r="U37" s="171"/>
      <c r="V37" s="171">
        <f t="shared" si="9"/>
        <v>1845504000</v>
      </c>
      <c r="W37" s="171">
        <f t="shared" si="10"/>
        <v>44006400000</v>
      </c>
      <c r="X37" s="171">
        <f t="shared" si="11"/>
        <v>72000000</v>
      </c>
      <c r="Y37" s="171">
        <f t="shared" si="18"/>
        <v>56333666141.156906</v>
      </c>
      <c r="Z37" s="171">
        <f t="shared" si="12"/>
        <v>28166833070.578453</v>
      </c>
      <c r="AA37" s="171">
        <f t="shared" si="19"/>
        <v>7041708267.644613</v>
      </c>
      <c r="AB37">
        <f t="shared" si="13"/>
        <v>0.213016493013809</v>
      </c>
    </row>
    <row r="38" spans="1:28" ht="12.75">
      <c r="A38" t="s">
        <v>565</v>
      </c>
      <c r="B38" t="s">
        <v>312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40">
        <v>1287687</v>
      </c>
      <c r="H38" s="105">
        <f t="shared" si="20"/>
        <v>167399.31</v>
      </c>
      <c r="I38" s="171">
        <f t="shared" si="15"/>
        <v>836996.55</v>
      </c>
      <c r="J38" s="27">
        <f t="shared" si="21"/>
        <v>305503740.75</v>
      </c>
      <c r="K38" s="171">
        <f t="shared" si="2"/>
        <v>2610000000</v>
      </c>
      <c r="L38" s="171">
        <f t="shared" si="3"/>
        <v>17639.424000000003</v>
      </c>
      <c r="M38" s="171">
        <f t="shared" si="4"/>
        <v>51507118.080000006</v>
      </c>
      <c r="N38" s="171">
        <f t="shared" si="5"/>
        <v>616.4611199999999</v>
      </c>
      <c r="O38" s="171">
        <f t="shared" si="6"/>
        <v>4931.6889599999995</v>
      </c>
      <c r="P38" s="224">
        <f t="shared" si="16"/>
        <v>1800066.4703999998</v>
      </c>
      <c r="Q38" s="171">
        <f t="shared" si="7"/>
        <v>2479.5</v>
      </c>
      <c r="R38" s="171">
        <f t="shared" si="17"/>
        <v>905017.5</v>
      </c>
      <c r="S38" s="171">
        <f t="shared" si="8"/>
        <v>353561569.3521127</v>
      </c>
      <c r="T38" s="171">
        <f t="shared" si="0"/>
        <v>4242738832.2253523</v>
      </c>
      <c r="U38" s="171"/>
      <c r="V38" s="171">
        <f t="shared" si="9"/>
        <v>802794240</v>
      </c>
      <c r="W38" s="171">
        <f t="shared" si="10"/>
        <v>19142784000</v>
      </c>
      <c r="X38" s="171">
        <f t="shared" si="11"/>
        <v>31320000</v>
      </c>
      <c r="Y38" s="171">
        <f t="shared" si="18"/>
        <v>24579353015.025753</v>
      </c>
      <c r="Z38" s="171">
        <f t="shared" si="12"/>
        <v>12289676507.512877</v>
      </c>
      <c r="AA38" s="171">
        <f t="shared" si="19"/>
        <v>3072419126.878219</v>
      </c>
      <c r="AB38">
        <f t="shared" si="13"/>
        <v>0.21237336868911602</v>
      </c>
    </row>
    <row r="39" spans="1:28" ht="12.75">
      <c r="A39" t="s">
        <v>566</v>
      </c>
      <c r="B39" t="s">
        <v>313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40">
        <v>8638396</v>
      </c>
      <c r="H39" s="105">
        <f t="shared" si="20"/>
        <v>1122991.48</v>
      </c>
      <c r="I39" s="171">
        <f t="shared" si="15"/>
        <v>5614957.4</v>
      </c>
      <c r="J39" s="27">
        <f t="shared" si="21"/>
        <v>2049459451.0000002</v>
      </c>
      <c r="K39" s="171">
        <f t="shared" si="2"/>
        <v>7430000000</v>
      </c>
      <c r="L39" s="171">
        <f t="shared" si="3"/>
        <v>50214.912000000004</v>
      </c>
      <c r="M39" s="171">
        <f t="shared" si="4"/>
        <v>146627543.04000002</v>
      </c>
      <c r="N39" s="171">
        <f t="shared" si="5"/>
        <v>1754.90656</v>
      </c>
      <c r="O39" s="171">
        <f t="shared" si="6"/>
        <v>14039.25248</v>
      </c>
      <c r="P39" s="224">
        <f t="shared" si="16"/>
        <v>5124327.1552</v>
      </c>
      <c r="Q39" s="171">
        <f t="shared" si="7"/>
        <v>7058.5</v>
      </c>
      <c r="R39" s="171">
        <f t="shared" si="17"/>
        <v>2576352.5</v>
      </c>
      <c r="S39" s="171">
        <f t="shared" si="8"/>
        <v>1006499026.9295776</v>
      </c>
      <c r="T39" s="171">
        <f t="shared" si="0"/>
        <v>12077988323.15493</v>
      </c>
      <c r="U39" s="171"/>
      <c r="V39" s="171">
        <f t="shared" si="9"/>
        <v>2285349120</v>
      </c>
      <c r="W39" s="171">
        <f t="shared" si="10"/>
        <v>54494592000</v>
      </c>
      <c r="X39" s="171">
        <f t="shared" si="11"/>
        <v>89160000</v>
      </c>
      <c r="Y39" s="171">
        <f t="shared" si="18"/>
        <v>71150877116.85013</v>
      </c>
      <c r="Z39" s="171">
        <f t="shared" si="12"/>
        <v>35575438558.425064</v>
      </c>
      <c r="AA39" s="171">
        <f t="shared" si="19"/>
        <v>8893859639.606266</v>
      </c>
      <c r="AB39">
        <f t="shared" si="13"/>
        <v>0.20885195801023818</v>
      </c>
    </row>
    <row r="40" spans="1:28" ht="12.75">
      <c r="A40" t="s">
        <v>567</v>
      </c>
      <c r="B40" t="s">
        <v>314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40">
        <v>1874614</v>
      </c>
      <c r="H40" s="105">
        <f t="shared" si="20"/>
        <v>243699.82</v>
      </c>
      <c r="I40" s="171">
        <f t="shared" si="15"/>
        <v>1218499.1</v>
      </c>
      <c r="J40" s="27">
        <f t="shared" si="21"/>
        <v>444752171.50000006</v>
      </c>
      <c r="K40" s="171">
        <f t="shared" si="2"/>
        <v>10110000000</v>
      </c>
      <c r="L40" s="171">
        <f t="shared" si="3"/>
        <v>68327.424</v>
      </c>
      <c r="M40" s="171">
        <f t="shared" si="4"/>
        <v>199516078.07999998</v>
      </c>
      <c r="N40" s="171">
        <f t="shared" si="5"/>
        <v>2387.90112</v>
      </c>
      <c r="O40" s="171">
        <f t="shared" si="6"/>
        <v>19103.20896</v>
      </c>
      <c r="P40" s="224">
        <f t="shared" si="16"/>
        <v>6972671.2704</v>
      </c>
      <c r="Q40" s="171">
        <f t="shared" si="7"/>
        <v>9604.5</v>
      </c>
      <c r="R40" s="171">
        <f t="shared" si="17"/>
        <v>3505642.5</v>
      </c>
      <c r="S40" s="171">
        <f t="shared" si="8"/>
        <v>1369543090.4788735</v>
      </c>
      <c r="T40" s="171">
        <f aca="true" t="shared" si="23" ref="T40:T60">SUM(S40*12)</f>
        <v>16434517085.746483</v>
      </c>
      <c r="U40" s="171"/>
      <c r="V40" s="171">
        <f t="shared" si="9"/>
        <v>3109674240</v>
      </c>
      <c r="W40" s="171">
        <f t="shared" si="10"/>
        <v>74150784000</v>
      </c>
      <c r="X40" s="171">
        <f t="shared" si="11"/>
        <v>121320000</v>
      </c>
      <c r="Y40" s="171">
        <f t="shared" si="18"/>
        <v>94471041889.09688</v>
      </c>
      <c r="Z40" s="171">
        <f t="shared" si="12"/>
        <v>47235520944.54844</v>
      </c>
      <c r="AA40" s="171">
        <f t="shared" si="19"/>
        <v>11808880236.13711</v>
      </c>
      <c r="AB40">
        <f t="shared" si="13"/>
        <v>0.21403384143616222</v>
      </c>
    </row>
    <row r="41" spans="1:28" ht="12.75">
      <c r="A41" t="s">
        <v>568</v>
      </c>
      <c r="B41" t="s">
        <v>315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40">
        <v>19190115</v>
      </c>
      <c r="H41" s="105">
        <f t="shared" si="20"/>
        <v>2494714.95</v>
      </c>
      <c r="I41" s="171">
        <f t="shared" si="15"/>
        <v>12473574.75</v>
      </c>
      <c r="J41" s="27">
        <f t="shared" si="21"/>
        <v>4552854783.75</v>
      </c>
      <c r="K41" s="171">
        <f aca="true" t="shared" si="24" ref="K41:K60">SUM(C41*$K$8)</f>
        <v>23540000000</v>
      </c>
      <c r="L41" s="171">
        <f aca="true" t="shared" si="25" ref="L41:L60">SUM(C41*$L$8)*$L$4</f>
        <v>159092.73600000003</v>
      </c>
      <c r="M41" s="171">
        <f aca="true" t="shared" si="26" ref="M41:M60">SUM(L41*365)*8</f>
        <v>464550789.1200001</v>
      </c>
      <c r="N41" s="171">
        <f aca="true" t="shared" si="27" ref="N41:N60">SUM($N$8*C41)*$N$4</f>
        <v>5559.95968</v>
      </c>
      <c r="O41" s="171">
        <f aca="true" t="shared" si="28" ref="O41:O60">SUM(N41*8)</f>
        <v>44479.67744</v>
      </c>
      <c r="P41" s="224">
        <f t="shared" si="16"/>
        <v>16235082.2656</v>
      </c>
      <c r="Q41" s="171">
        <f aca="true" t="shared" si="29" ref="Q41:Q60">SUM(C41*$Q$8)*$Q$4</f>
        <v>22363</v>
      </c>
      <c r="R41" s="171">
        <f t="shared" si="17"/>
        <v>8162495</v>
      </c>
      <c r="S41" s="171">
        <f aca="true" t="shared" si="30" ref="S41:S60">SUM(C41*$S$8)</f>
        <v>3188827334.3098598</v>
      </c>
      <c r="T41" s="171">
        <f t="shared" si="23"/>
        <v>38265928011.718315</v>
      </c>
      <c r="U41" s="171"/>
      <c r="V41" s="171">
        <f aca="true" t="shared" si="31" ref="V41:V60">SUM($V$8*C41)</f>
        <v>7240527360</v>
      </c>
      <c r="W41" s="171">
        <f aca="true" t="shared" si="32" ref="W41:W60">SUM(C41*$W$8)</f>
        <v>172651776000</v>
      </c>
      <c r="X41" s="171">
        <f aca="true" t="shared" si="33" ref="X41:X60">SUM(C41*$X$8)</f>
        <v>282480000</v>
      </c>
      <c r="Y41" s="171">
        <f t="shared" si="18"/>
        <v>223482514521.8539</v>
      </c>
      <c r="Z41" s="171">
        <f aca="true" t="shared" si="34" ref="Z41:Z61">SUM(Y41*$Z$6)</f>
        <v>111741257260.92696</v>
      </c>
      <c r="AA41" s="171">
        <f t="shared" si="19"/>
        <v>27935314315.23174</v>
      </c>
      <c r="AB41">
        <f aca="true" t="shared" si="35" ref="AB41:AB60">SUM(K41/Z41)</f>
        <v>0.21066525092904367</v>
      </c>
    </row>
    <row r="42" spans="1:28" s="11" customFormat="1" ht="12.75">
      <c r="A42" t="s">
        <v>569</v>
      </c>
      <c r="B42" s="11" t="s">
        <v>316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40">
        <v>8407248</v>
      </c>
      <c r="H42" s="105">
        <f t="shared" si="20"/>
        <v>1092942.24</v>
      </c>
      <c r="I42" s="171">
        <f t="shared" si="15"/>
        <v>5464711.2</v>
      </c>
      <c r="J42" s="27">
        <f t="shared" si="21"/>
        <v>1994619588</v>
      </c>
      <c r="K42" s="170">
        <f t="shared" si="24"/>
        <v>12210000000</v>
      </c>
      <c r="L42" s="170">
        <f t="shared" si="25"/>
        <v>82520.06400000001</v>
      </c>
      <c r="M42" s="170">
        <f t="shared" si="26"/>
        <v>240958586.88000003</v>
      </c>
      <c r="N42" s="170">
        <f t="shared" si="27"/>
        <v>2883.90432</v>
      </c>
      <c r="O42" s="170">
        <f t="shared" si="28"/>
        <v>23071.23456</v>
      </c>
      <c r="P42" s="225">
        <f t="shared" si="16"/>
        <v>8421000.6144</v>
      </c>
      <c r="Q42" s="170">
        <f t="shared" si="29"/>
        <v>11599.5</v>
      </c>
      <c r="R42" s="170">
        <f t="shared" si="17"/>
        <v>4233817.5</v>
      </c>
      <c r="S42" s="170">
        <f t="shared" si="30"/>
        <v>1654017916.3943665</v>
      </c>
      <c r="T42" s="170">
        <f t="shared" si="23"/>
        <v>19848214996.7324</v>
      </c>
      <c r="U42" s="170"/>
      <c r="V42" s="170">
        <f t="shared" si="31"/>
        <v>3755600640</v>
      </c>
      <c r="W42" s="170">
        <f t="shared" si="32"/>
        <v>89553024000</v>
      </c>
      <c r="X42" s="170">
        <f t="shared" si="33"/>
        <v>146520000</v>
      </c>
      <c r="Y42" s="171">
        <f t="shared" si="18"/>
        <v>115551592629.7268</v>
      </c>
      <c r="Z42" s="170">
        <f t="shared" si="34"/>
        <v>57775796314.8634</v>
      </c>
      <c r="AA42" s="171">
        <f t="shared" si="19"/>
        <v>14443949078.71585</v>
      </c>
      <c r="AB42" s="11">
        <f t="shared" si="35"/>
        <v>0.21133417068729965</v>
      </c>
    </row>
    <row r="43" spans="1:28" ht="12.75">
      <c r="A43" t="s">
        <v>570</v>
      </c>
      <c r="B43" t="s">
        <v>317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40">
        <v>633837</v>
      </c>
      <c r="H43" s="105">
        <f t="shared" si="20"/>
        <v>82398.81</v>
      </c>
      <c r="I43" s="171">
        <f t="shared" si="15"/>
        <v>411994.05</v>
      </c>
      <c r="J43" s="27">
        <f t="shared" si="21"/>
        <v>150377828.25</v>
      </c>
      <c r="K43" s="171">
        <f t="shared" si="24"/>
        <v>5720000000</v>
      </c>
      <c r="L43" s="171">
        <f t="shared" si="25"/>
        <v>38658.048</v>
      </c>
      <c r="M43" s="171">
        <f t="shared" si="26"/>
        <v>112881500.16000001</v>
      </c>
      <c r="N43" s="171">
        <f t="shared" si="27"/>
        <v>1351.01824</v>
      </c>
      <c r="O43" s="171">
        <f t="shared" si="28"/>
        <v>10808.14592</v>
      </c>
      <c r="P43" s="224">
        <f t="shared" si="16"/>
        <v>3944973.2608000003</v>
      </c>
      <c r="Q43" s="171">
        <f t="shared" si="29"/>
        <v>5434</v>
      </c>
      <c r="R43" s="171">
        <f t="shared" si="17"/>
        <v>1983410</v>
      </c>
      <c r="S43" s="171">
        <f t="shared" si="30"/>
        <v>774855240.1126761</v>
      </c>
      <c r="T43" s="171">
        <f t="shared" si="23"/>
        <v>9298262881.352114</v>
      </c>
      <c r="U43" s="171"/>
      <c r="V43" s="171">
        <f t="shared" si="31"/>
        <v>1759380480</v>
      </c>
      <c r="W43" s="171">
        <f t="shared" si="32"/>
        <v>41952768000</v>
      </c>
      <c r="X43" s="171">
        <f t="shared" si="33"/>
        <v>68640000</v>
      </c>
      <c r="Y43" s="171">
        <f t="shared" si="18"/>
        <v>53348239073.02291</v>
      </c>
      <c r="Z43" s="171">
        <f t="shared" si="34"/>
        <v>26674119536.511456</v>
      </c>
      <c r="AA43" s="171">
        <f t="shared" si="19"/>
        <v>6668529884.127864</v>
      </c>
      <c r="AB43">
        <f t="shared" si="35"/>
        <v>0.21444006772821428</v>
      </c>
    </row>
    <row r="44" spans="1:28" s="112" customFormat="1" ht="12.75">
      <c r="A44" t="s">
        <v>571</v>
      </c>
      <c r="B44" s="112" t="s">
        <v>318</v>
      </c>
      <c r="C44" s="112">
        <v>1944</v>
      </c>
      <c r="D44" s="112">
        <v>4368</v>
      </c>
      <c r="E44" s="11">
        <f t="shared" si="22"/>
        <v>777.6</v>
      </c>
      <c r="F44" s="11">
        <f t="shared" si="14"/>
        <v>1747.2</v>
      </c>
      <c r="G44" s="240">
        <v>11435798</v>
      </c>
      <c r="H44" s="105">
        <f t="shared" si="20"/>
        <v>1486653.74</v>
      </c>
      <c r="I44" s="171">
        <f t="shared" si="15"/>
        <v>7433268.7</v>
      </c>
      <c r="J44" s="27">
        <f t="shared" si="21"/>
        <v>2713143075.5</v>
      </c>
      <c r="K44" s="171">
        <f t="shared" si="24"/>
        <v>19440000000</v>
      </c>
      <c r="L44" s="172">
        <f t="shared" si="25"/>
        <v>131383.296</v>
      </c>
      <c r="M44" s="172">
        <f t="shared" si="26"/>
        <v>383639224.32</v>
      </c>
      <c r="N44" s="172">
        <f t="shared" si="27"/>
        <v>4591.57248</v>
      </c>
      <c r="O44" s="172">
        <f t="shared" si="28"/>
        <v>36732.57984</v>
      </c>
      <c r="P44" s="224">
        <f t="shared" si="16"/>
        <v>13407391.6416</v>
      </c>
      <c r="Q44" s="172">
        <f t="shared" si="29"/>
        <v>18468</v>
      </c>
      <c r="R44" s="171">
        <f t="shared" si="17"/>
        <v>6740820</v>
      </c>
      <c r="S44" s="172">
        <f t="shared" si="30"/>
        <v>2633424102.760564</v>
      </c>
      <c r="T44" s="172">
        <f t="shared" si="23"/>
        <v>31601089233.126766</v>
      </c>
      <c r="U44" s="172"/>
      <c r="V44" s="171">
        <f t="shared" si="31"/>
        <v>5979432960</v>
      </c>
      <c r="W44" s="172">
        <f t="shared" si="32"/>
        <v>142580736000</v>
      </c>
      <c r="X44" s="172">
        <f t="shared" si="33"/>
        <v>233280000</v>
      </c>
      <c r="Y44" s="171">
        <f t="shared" si="18"/>
        <v>183511468704.58838</v>
      </c>
      <c r="Z44" s="172">
        <f t="shared" si="34"/>
        <v>91755734352.29419</v>
      </c>
      <c r="AA44" s="171">
        <f t="shared" si="19"/>
        <v>22938933588.073547</v>
      </c>
      <c r="AB44" s="112">
        <f t="shared" si="35"/>
        <v>0.211866867365047</v>
      </c>
    </row>
    <row r="45" spans="1:28" ht="12.75">
      <c r="A45" t="s">
        <v>572</v>
      </c>
      <c r="B45" t="s">
        <v>319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40">
        <v>3511532</v>
      </c>
      <c r="H45" s="105">
        <f t="shared" si="20"/>
        <v>456499.16000000003</v>
      </c>
      <c r="I45" s="171">
        <f t="shared" si="15"/>
        <v>2282495.8000000003</v>
      </c>
      <c r="J45" s="27">
        <f t="shared" si="21"/>
        <v>833110967.0000001</v>
      </c>
      <c r="K45" s="171">
        <f t="shared" si="24"/>
        <v>10650000000</v>
      </c>
      <c r="L45" s="171">
        <f t="shared" si="25"/>
        <v>71976.96</v>
      </c>
      <c r="M45" s="171">
        <f t="shared" si="26"/>
        <v>210172723.20000002</v>
      </c>
      <c r="N45" s="171">
        <f t="shared" si="27"/>
        <v>2515.4448</v>
      </c>
      <c r="O45" s="171">
        <f t="shared" si="28"/>
        <v>20123.5584</v>
      </c>
      <c r="P45" s="224">
        <f t="shared" si="16"/>
        <v>7345098.816000001</v>
      </c>
      <c r="Q45" s="171">
        <f t="shared" si="29"/>
        <v>10117.5</v>
      </c>
      <c r="R45" s="171">
        <f t="shared" si="17"/>
        <v>3692887.5</v>
      </c>
      <c r="S45" s="171">
        <f t="shared" si="30"/>
        <v>1442693760.0000002</v>
      </c>
      <c r="T45" s="171">
        <f t="shared" si="23"/>
        <v>17312325120.000004</v>
      </c>
      <c r="U45" s="171"/>
      <c r="V45" s="171">
        <f t="shared" si="31"/>
        <v>3275769600</v>
      </c>
      <c r="W45" s="171">
        <f t="shared" si="32"/>
        <v>78111360000</v>
      </c>
      <c r="X45" s="171">
        <f t="shared" si="33"/>
        <v>127800000</v>
      </c>
      <c r="Y45" s="171">
        <f t="shared" si="18"/>
        <v>99881576396.516</v>
      </c>
      <c r="Z45" s="171">
        <f t="shared" si="34"/>
        <v>49940788198.258</v>
      </c>
      <c r="AA45" s="171">
        <f t="shared" si="19"/>
        <v>12485197049.5645</v>
      </c>
      <c r="AB45">
        <f t="shared" si="35"/>
        <v>0.21325254134398072</v>
      </c>
    </row>
    <row r="46" spans="1:28" ht="12.75">
      <c r="A46" t="s">
        <v>573</v>
      </c>
      <c r="B46" t="s">
        <v>320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40">
        <v>3559596</v>
      </c>
      <c r="H46" s="105">
        <f t="shared" si="20"/>
        <v>462747.48000000004</v>
      </c>
      <c r="I46" s="171">
        <f t="shared" si="15"/>
        <v>2313737.4000000004</v>
      </c>
      <c r="J46" s="27">
        <f t="shared" si="21"/>
        <v>844514151.0000001</v>
      </c>
      <c r="K46" s="171">
        <f t="shared" si="24"/>
        <v>7780000000</v>
      </c>
      <c r="L46" s="171">
        <f t="shared" si="25"/>
        <v>52580.352000000006</v>
      </c>
      <c r="M46" s="171">
        <f t="shared" si="26"/>
        <v>153534627.84</v>
      </c>
      <c r="N46" s="171">
        <f t="shared" si="27"/>
        <v>1837.5737600000002</v>
      </c>
      <c r="O46" s="171">
        <f t="shared" si="28"/>
        <v>14700.590080000002</v>
      </c>
      <c r="P46" s="224">
        <f t="shared" si="16"/>
        <v>5365715.3792</v>
      </c>
      <c r="Q46" s="171">
        <f t="shared" si="29"/>
        <v>7391</v>
      </c>
      <c r="R46" s="171">
        <f t="shared" si="17"/>
        <v>2697715</v>
      </c>
      <c r="S46" s="171">
        <f t="shared" si="30"/>
        <v>1053911497.9154931</v>
      </c>
      <c r="T46" s="171">
        <f t="shared" si="23"/>
        <v>12646937974.985918</v>
      </c>
      <c r="U46" s="171"/>
      <c r="V46" s="171">
        <f t="shared" si="31"/>
        <v>2393003520</v>
      </c>
      <c r="W46" s="171">
        <f t="shared" si="32"/>
        <v>57061632000</v>
      </c>
      <c r="X46" s="171">
        <f t="shared" si="33"/>
        <v>93360000</v>
      </c>
      <c r="Y46" s="171">
        <f t="shared" si="18"/>
        <v>73201045704.20512</v>
      </c>
      <c r="Z46" s="171">
        <f t="shared" si="34"/>
        <v>36600522852.10256</v>
      </c>
      <c r="AA46" s="171">
        <f t="shared" si="19"/>
        <v>9150130713.02564</v>
      </c>
      <c r="AB46">
        <f t="shared" si="35"/>
        <v>0.21256526939349635</v>
      </c>
    </row>
    <row r="47" spans="1:28" ht="12.75">
      <c r="A47" t="s">
        <v>574</v>
      </c>
      <c r="B47" t="s">
        <v>321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40">
        <v>12365455</v>
      </c>
      <c r="H47" s="105">
        <f t="shared" si="20"/>
        <v>1607509.1500000001</v>
      </c>
      <c r="I47" s="171">
        <f t="shared" si="15"/>
        <v>8037545.750000001</v>
      </c>
      <c r="J47" s="27">
        <f t="shared" si="21"/>
        <v>2933704198.7500005</v>
      </c>
      <c r="K47" s="171">
        <f t="shared" si="24"/>
        <v>22150000000</v>
      </c>
      <c r="L47" s="171">
        <f t="shared" si="25"/>
        <v>149698.56000000003</v>
      </c>
      <c r="M47" s="171">
        <f t="shared" si="26"/>
        <v>437119795.2000001</v>
      </c>
      <c r="N47" s="171">
        <f t="shared" si="27"/>
        <v>5231.6528</v>
      </c>
      <c r="O47" s="171">
        <f t="shared" si="28"/>
        <v>41853.2224</v>
      </c>
      <c r="P47" s="224">
        <f t="shared" si="16"/>
        <v>15276426.175999999</v>
      </c>
      <c r="Q47" s="171">
        <f t="shared" si="29"/>
        <v>21042.5</v>
      </c>
      <c r="R47" s="171">
        <f t="shared" si="17"/>
        <v>7680512.5</v>
      </c>
      <c r="S47" s="171">
        <f t="shared" si="30"/>
        <v>3000532092.3943667</v>
      </c>
      <c r="T47" s="171">
        <f t="shared" si="23"/>
        <v>36006385108.7324</v>
      </c>
      <c r="U47" s="171"/>
      <c r="V47" s="171">
        <f t="shared" si="31"/>
        <v>6812985600</v>
      </c>
      <c r="W47" s="171">
        <f t="shared" si="32"/>
        <v>162456960000</v>
      </c>
      <c r="X47" s="171">
        <f t="shared" si="33"/>
        <v>265800000</v>
      </c>
      <c r="Y47" s="171">
        <f t="shared" si="18"/>
        <v>208935911641.3584</v>
      </c>
      <c r="Z47" s="171">
        <f t="shared" si="34"/>
        <v>104467955820.6792</v>
      </c>
      <c r="AA47" s="171">
        <f t="shared" si="19"/>
        <v>26116988955.1698</v>
      </c>
      <c r="AB47">
        <f t="shared" si="35"/>
        <v>0.21202673897458857</v>
      </c>
    </row>
    <row r="48" spans="1:28" ht="12.75">
      <c r="A48" t="s">
        <v>575</v>
      </c>
      <c r="B48" t="s">
        <v>322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40">
        <v>1076164</v>
      </c>
      <c r="H48" s="105">
        <f t="shared" si="20"/>
        <v>139901.32</v>
      </c>
      <c r="I48" s="171">
        <f t="shared" si="15"/>
        <v>699506.6000000001</v>
      </c>
      <c r="J48" s="27">
        <f t="shared" si="21"/>
        <v>255319909.00000003</v>
      </c>
      <c r="K48" s="171">
        <f t="shared" si="24"/>
        <v>1360000000</v>
      </c>
      <c r="L48" s="171">
        <f t="shared" si="25"/>
        <v>9191.424</v>
      </c>
      <c r="M48" s="171">
        <f t="shared" si="26"/>
        <v>26838958.080000002</v>
      </c>
      <c r="N48" s="171">
        <f t="shared" si="27"/>
        <v>321.22112</v>
      </c>
      <c r="O48" s="171">
        <f t="shared" si="28"/>
        <v>2569.76896</v>
      </c>
      <c r="P48" s="224">
        <f t="shared" si="16"/>
        <v>937965.6704</v>
      </c>
      <c r="Q48" s="171">
        <f t="shared" si="29"/>
        <v>1292</v>
      </c>
      <c r="R48" s="171">
        <f t="shared" si="17"/>
        <v>471580</v>
      </c>
      <c r="S48" s="171">
        <f t="shared" si="30"/>
        <v>184231315.83098593</v>
      </c>
      <c r="T48" s="171">
        <f t="shared" si="23"/>
        <v>2210775789.9718313</v>
      </c>
      <c r="U48" s="171"/>
      <c r="V48" s="171">
        <f t="shared" si="31"/>
        <v>418314240</v>
      </c>
      <c r="W48" s="171">
        <f t="shared" si="32"/>
        <v>9974784000</v>
      </c>
      <c r="X48" s="171">
        <f t="shared" si="33"/>
        <v>16320000</v>
      </c>
      <c r="Y48" s="171">
        <f t="shared" si="18"/>
        <v>12903762442.72223</v>
      </c>
      <c r="Z48" s="171">
        <f t="shared" si="34"/>
        <v>6451881221.361115</v>
      </c>
      <c r="AA48" s="171">
        <f t="shared" si="19"/>
        <v>1612970305.3402789</v>
      </c>
      <c r="AB48">
        <f t="shared" si="35"/>
        <v>0.21079123333784636</v>
      </c>
    </row>
    <row r="49" spans="1:28" ht="12.75">
      <c r="A49" t="s">
        <v>576</v>
      </c>
      <c r="B49" t="s">
        <v>323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40">
        <v>4147152</v>
      </c>
      <c r="H49" s="105">
        <f t="shared" si="20"/>
        <v>539129.76</v>
      </c>
      <c r="I49" s="171">
        <f t="shared" si="15"/>
        <v>2695648.8</v>
      </c>
      <c r="J49" s="27">
        <f t="shared" si="21"/>
        <v>983911811.9999999</v>
      </c>
      <c r="K49" s="171">
        <f t="shared" si="24"/>
        <v>8900000000</v>
      </c>
      <c r="L49" s="171">
        <f t="shared" si="25"/>
        <v>60149.76</v>
      </c>
      <c r="M49" s="171">
        <f t="shared" si="26"/>
        <v>175637299.20000002</v>
      </c>
      <c r="N49" s="171">
        <f t="shared" si="27"/>
        <v>2102.1088</v>
      </c>
      <c r="O49" s="171">
        <f t="shared" si="28"/>
        <v>16816.8704</v>
      </c>
      <c r="P49" s="224">
        <f t="shared" si="16"/>
        <v>6138157.6959999995</v>
      </c>
      <c r="Q49" s="171">
        <f t="shared" si="29"/>
        <v>8455</v>
      </c>
      <c r="R49" s="171">
        <f t="shared" si="17"/>
        <v>3086075</v>
      </c>
      <c r="S49" s="171">
        <f t="shared" si="30"/>
        <v>1205631405.0704226</v>
      </c>
      <c r="T49" s="171">
        <f t="shared" si="23"/>
        <v>14467576860.845072</v>
      </c>
      <c r="U49" s="171"/>
      <c r="V49" s="171">
        <f t="shared" si="31"/>
        <v>2737497600</v>
      </c>
      <c r="W49" s="171">
        <f t="shared" si="32"/>
        <v>65276160000</v>
      </c>
      <c r="X49" s="171">
        <f t="shared" si="33"/>
        <v>106800000</v>
      </c>
      <c r="Y49" s="171">
        <f t="shared" si="18"/>
        <v>83756807804.74107</v>
      </c>
      <c r="Z49" s="171">
        <f t="shared" si="34"/>
        <v>41878403902.37054</v>
      </c>
      <c r="AA49" s="171">
        <f t="shared" si="19"/>
        <v>10469600975.592634</v>
      </c>
      <c r="AB49">
        <f t="shared" si="35"/>
        <v>0.21252003826956292</v>
      </c>
    </row>
    <row r="50" spans="1:28" ht="12.75">
      <c r="A50" t="s">
        <v>577</v>
      </c>
      <c r="B50" t="s">
        <v>324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40">
        <v>764309</v>
      </c>
      <c r="H50" s="105">
        <f t="shared" si="20"/>
        <v>99360.17</v>
      </c>
      <c r="I50" s="171">
        <f t="shared" si="15"/>
        <v>496800.85</v>
      </c>
      <c r="J50" s="27">
        <f t="shared" si="21"/>
        <v>181332310.25</v>
      </c>
      <c r="K50" s="171">
        <f t="shared" si="24"/>
        <v>6780000000</v>
      </c>
      <c r="L50" s="171">
        <f t="shared" si="25"/>
        <v>45821.952000000005</v>
      </c>
      <c r="M50" s="171">
        <f t="shared" si="26"/>
        <v>133800099.84000002</v>
      </c>
      <c r="N50" s="171">
        <f t="shared" si="27"/>
        <v>1601.3817600000002</v>
      </c>
      <c r="O50" s="171">
        <f t="shared" si="28"/>
        <v>12811.054080000002</v>
      </c>
      <c r="P50" s="224">
        <f t="shared" si="16"/>
        <v>4676034.739200001</v>
      </c>
      <c r="Q50" s="171">
        <f t="shared" si="29"/>
        <v>6441</v>
      </c>
      <c r="R50" s="171">
        <f t="shared" si="17"/>
        <v>2350965</v>
      </c>
      <c r="S50" s="171">
        <f t="shared" si="30"/>
        <v>918447295.0985917</v>
      </c>
      <c r="T50" s="171">
        <f t="shared" si="23"/>
        <v>11021367541.1831</v>
      </c>
      <c r="U50" s="171"/>
      <c r="V50" s="171">
        <f t="shared" si="31"/>
        <v>2085419520</v>
      </c>
      <c r="W50" s="171">
        <f t="shared" si="32"/>
        <v>49727232000</v>
      </c>
      <c r="X50" s="171">
        <f t="shared" si="33"/>
        <v>81360000</v>
      </c>
      <c r="Y50" s="171">
        <f t="shared" si="18"/>
        <v>63237538471.0123</v>
      </c>
      <c r="Z50" s="171">
        <f t="shared" si="34"/>
        <v>31618769235.50615</v>
      </c>
      <c r="AA50" s="171">
        <f t="shared" si="19"/>
        <v>7904692308.876537</v>
      </c>
      <c r="AB50">
        <f t="shared" si="35"/>
        <v>0.21442959874562198</v>
      </c>
    </row>
    <row r="51" spans="1:28" ht="12.75">
      <c r="A51" t="s">
        <v>578</v>
      </c>
      <c r="B51" t="s">
        <v>325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40">
        <v>5841748</v>
      </c>
      <c r="H51" s="105">
        <f t="shared" si="20"/>
        <v>759427.24</v>
      </c>
      <c r="I51" s="171">
        <f t="shared" si="15"/>
        <v>3797136.2</v>
      </c>
      <c r="J51" s="27">
        <f t="shared" si="21"/>
        <v>1385954713</v>
      </c>
      <c r="K51" s="171">
        <f t="shared" si="24"/>
        <v>11870000000</v>
      </c>
      <c r="L51" s="171">
        <f t="shared" si="25"/>
        <v>80222.20800000001</v>
      </c>
      <c r="M51" s="171">
        <f t="shared" si="26"/>
        <v>234248847.36000004</v>
      </c>
      <c r="N51" s="171">
        <f t="shared" si="27"/>
        <v>2803.59904</v>
      </c>
      <c r="O51" s="171">
        <f t="shared" si="28"/>
        <v>22428.79232</v>
      </c>
      <c r="P51" s="224">
        <f t="shared" si="16"/>
        <v>8186509.1968</v>
      </c>
      <c r="Q51" s="171">
        <f t="shared" si="29"/>
        <v>11276.5</v>
      </c>
      <c r="R51" s="171">
        <f t="shared" si="17"/>
        <v>4115922.5</v>
      </c>
      <c r="S51" s="171">
        <f t="shared" si="30"/>
        <v>1607960087.43662</v>
      </c>
      <c r="T51" s="171">
        <f t="shared" si="23"/>
        <v>19295521049.23944</v>
      </c>
      <c r="U51" s="171"/>
      <c r="V51" s="171">
        <f t="shared" si="31"/>
        <v>3651022080</v>
      </c>
      <c r="W51" s="171">
        <f t="shared" si="32"/>
        <v>87059328000</v>
      </c>
      <c r="X51" s="171">
        <f t="shared" si="33"/>
        <v>142440000</v>
      </c>
      <c r="Y51" s="171">
        <f t="shared" si="18"/>
        <v>111780817121.29623</v>
      </c>
      <c r="Z51" s="171">
        <f t="shared" si="34"/>
        <v>55890408560.64812</v>
      </c>
      <c r="AA51" s="171">
        <f t="shared" si="19"/>
        <v>13972602140.16203</v>
      </c>
      <c r="AB51">
        <f t="shared" si="35"/>
        <v>0.21237991107400045</v>
      </c>
    </row>
    <row r="52" spans="1:28" s="11" customFormat="1" ht="12.75">
      <c r="A52" t="s">
        <v>579</v>
      </c>
      <c r="B52" s="11" t="s">
        <v>326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40">
        <v>22118509</v>
      </c>
      <c r="H52" s="105">
        <f t="shared" si="20"/>
        <v>2875406.17</v>
      </c>
      <c r="I52" s="171">
        <f t="shared" si="15"/>
        <v>14377030.85</v>
      </c>
      <c r="J52" s="27">
        <f t="shared" si="21"/>
        <v>5247616260.25</v>
      </c>
      <c r="K52" s="170">
        <f t="shared" si="24"/>
        <v>42690000000</v>
      </c>
      <c r="L52" s="170">
        <f t="shared" si="25"/>
        <v>288516.096</v>
      </c>
      <c r="M52" s="170">
        <f t="shared" si="26"/>
        <v>842467000.32</v>
      </c>
      <c r="N52" s="170">
        <f t="shared" si="27"/>
        <v>10083.03648</v>
      </c>
      <c r="O52" s="170">
        <f t="shared" si="28"/>
        <v>80664.29184</v>
      </c>
      <c r="P52" s="225">
        <f t="shared" si="16"/>
        <v>29442466.5216</v>
      </c>
      <c r="Q52" s="170">
        <f t="shared" si="29"/>
        <v>40555.5</v>
      </c>
      <c r="R52" s="170">
        <f t="shared" si="17"/>
        <v>14802757.5</v>
      </c>
      <c r="S52" s="170">
        <f t="shared" si="30"/>
        <v>5782966818.253522</v>
      </c>
      <c r="T52" s="170">
        <f t="shared" si="23"/>
        <v>69395601819.04227</v>
      </c>
      <c r="U52" s="170"/>
      <c r="V52" s="170">
        <f t="shared" si="31"/>
        <v>13130760960</v>
      </c>
      <c r="W52" s="170">
        <f t="shared" si="32"/>
        <v>313105536000</v>
      </c>
      <c r="X52" s="170">
        <f t="shared" si="33"/>
        <v>512280000</v>
      </c>
      <c r="Y52" s="171">
        <f t="shared" si="18"/>
        <v>402278507263.63385</v>
      </c>
      <c r="Z52" s="170">
        <f t="shared" si="34"/>
        <v>201139253631.81693</v>
      </c>
      <c r="AA52" s="171">
        <f t="shared" si="19"/>
        <v>50284813407.95423</v>
      </c>
      <c r="AB52" s="11">
        <f t="shared" si="35"/>
        <v>0.21224101824571523</v>
      </c>
    </row>
    <row r="53" spans="1:28" ht="12.75">
      <c r="A53" t="s">
        <v>580</v>
      </c>
      <c r="B53" t="s">
        <v>327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40">
        <v>2351467</v>
      </c>
      <c r="H53" s="105">
        <f t="shared" si="20"/>
        <v>305690.71</v>
      </c>
      <c r="I53" s="171">
        <f t="shared" si="15"/>
        <v>1528453.55</v>
      </c>
      <c r="J53" s="27">
        <f t="shared" si="21"/>
        <v>557885545.75</v>
      </c>
      <c r="K53" s="171">
        <f t="shared" si="24"/>
        <v>9460000000</v>
      </c>
      <c r="L53" s="171">
        <f t="shared" si="25"/>
        <v>63934.46400000001</v>
      </c>
      <c r="M53" s="171">
        <f t="shared" si="26"/>
        <v>186688634.88000003</v>
      </c>
      <c r="N53" s="171">
        <f t="shared" si="27"/>
        <v>2234.37632</v>
      </c>
      <c r="O53" s="171">
        <f t="shared" si="28"/>
        <v>17875.01056</v>
      </c>
      <c r="P53" s="224">
        <f t="shared" si="16"/>
        <v>6524378.8544</v>
      </c>
      <c r="Q53" s="171">
        <f t="shared" si="29"/>
        <v>8987</v>
      </c>
      <c r="R53" s="171">
        <f t="shared" si="17"/>
        <v>3280255</v>
      </c>
      <c r="S53" s="171">
        <f t="shared" si="30"/>
        <v>1281491358.6478875</v>
      </c>
      <c r="T53" s="171">
        <f t="shared" si="23"/>
        <v>15377896303.77465</v>
      </c>
      <c r="U53" s="171"/>
      <c r="V53" s="171">
        <f t="shared" si="31"/>
        <v>2909744640</v>
      </c>
      <c r="W53" s="171">
        <f t="shared" si="32"/>
        <v>69383424000</v>
      </c>
      <c r="X53" s="171">
        <f t="shared" si="33"/>
        <v>113520000</v>
      </c>
      <c r="Y53" s="171">
        <f t="shared" si="18"/>
        <v>88538963758.25905</v>
      </c>
      <c r="Z53" s="171">
        <f t="shared" si="34"/>
        <v>44269481879.129524</v>
      </c>
      <c r="AA53" s="171">
        <f t="shared" si="19"/>
        <v>11067370469.782381</v>
      </c>
      <c r="AB53">
        <f t="shared" si="35"/>
        <v>0.21369122922714479</v>
      </c>
    </row>
    <row r="54" spans="1:28" ht="12.75">
      <c r="A54" t="s">
        <v>581</v>
      </c>
      <c r="B54" t="s">
        <v>328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40">
        <v>619107</v>
      </c>
      <c r="H54" s="105">
        <f t="shared" si="20"/>
        <v>80483.91</v>
      </c>
      <c r="I54" s="171">
        <f t="shared" si="15"/>
        <v>402419.55000000005</v>
      </c>
      <c r="J54" s="27">
        <f t="shared" si="21"/>
        <v>146883135.75000003</v>
      </c>
      <c r="K54" s="171">
        <f t="shared" si="24"/>
        <v>3280000000</v>
      </c>
      <c r="L54" s="171">
        <f t="shared" si="25"/>
        <v>22167.552000000003</v>
      </c>
      <c r="M54" s="171">
        <f t="shared" si="26"/>
        <v>64729251.84000001</v>
      </c>
      <c r="N54" s="171">
        <f t="shared" si="27"/>
        <v>774.7097600000001</v>
      </c>
      <c r="O54" s="171">
        <f t="shared" si="28"/>
        <v>6197.678080000001</v>
      </c>
      <c r="P54" s="224">
        <f t="shared" si="16"/>
        <v>2262152.4992000004</v>
      </c>
      <c r="Q54" s="171">
        <f t="shared" si="29"/>
        <v>3116</v>
      </c>
      <c r="R54" s="171">
        <f t="shared" si="17"/>
        <v>1137340</v>
      </c>
      <c r="S54" s="171">
        <f t="shared" si="30"/>
        <v>444322585.2394367</v>
      </c>
      <c r="T54" s="171">
        <f t="shared" si="23"/>
        <v>5331871022.87324</v>
      </c>
      <c r="U54" s="171"/>
      <c r="V54" s="171">
        <f t="shared" si="31"/>
        <v>1008875520</v>
      </c>
      <c r="W54" s="171">
        <f t="shared" si="32"/>
        <v>24056832000</v>
      </c>
      <c r="X54" s="171">
        <f t="shared" si="33"/>
        <v>39360000</v>
      </c>
      <c r="Y54" s="171">
        <f t="shared" si="18"/>
        <v>30651950422.96244</v>
      </c>
      <c r="Z54" s="171">
        <f t="shared" si="34"/>
        <v>15325975211.48122</v>
      </c>
      <c r="AA54" s="171">
        <f t="shared" si="19"/>
        <v>3831493802.870305</v>
      </c>
      <c r="AB54">
        <f t="shared" si="35"/>
        <v>0.2140157448214348</v>
      </c>
    </row>
    <row r="55" spans="1:28" ht="12.75">
      <c r="A55" t="s">
        <v>582</v>
      </c>
      <c r="B55" t="s">
        <v>329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40">
        <v>7386330</v>
      </c>
      <c r="H55" s="105">
        <f t="shared" si="20"/>
        <v>960222.9</v>
      </c>
      <c r="I55" s="171">
        <f t="shared" si="15"/>
        <v>4801114.5</v>
      </c>
      <c r="J55" s="27">
        <f t="shared" si="21"/>
        <v>1752406792.5</v>
      </c>
      <c r="K55" s="171">
        <f t="shared" si="24"/>
        <v>13330000000</v>
      </c>
      <c r="L55" s="171">
        <f t="shared" si="25"/>
        <v>90089.47200000001</v>
      </c>
      <c r="M55" s="171">
        <f t="shared" si="26"/>
        <v>263061258.24000004</v>
      </c>
      <c r="N55" s="171">
        <f t="shared" si="27"/>
        <v>3148.4393600000003</v>
      </c>
      <c r="O55" s="171">
        <f t="shared" si="28"/>
        <v>25187.514880000002</v>
      </c>
      <c r="P55" s="224">
        <f t="shared" si="16"/>
        <v>9193442.931200001</v>
      </c>
      <c r="Q55" s="171">
        <f t="shared" si="29"/>
        <v>12663.5</v>
      </c>
      <c r="R55" s="171">
        <f t="shared" si="17"/>
        <v>4622177.5</v>
      </c>
      <c r="S55" s="171">
        <f t="shared" si="30"/>
        <v>1805737823.549296</v>
      </c>
      <c r="T55" s="171">
        <f t="shared" si="23"/>
        <v>21668853882.591553</v>
      </c>
      <c r="U55" s="171"/>
      <c r="V55" s="171">
        <f t="shared" si="31"/>
        <v>4100094720</v>
      </c>
      <c r="W55" s="171">
        <f t="shared" si="32"/>
        <v>97767552000</v>
      </c>
      <c r="X55" s="171">
        <f t="shared" si="33"/>
        <v>159960000</v>
      </c>
      <c r="Y55" s="171">
        <f t="shared" si="18"/>
        <v>125725744273.76276</v>
      </c>
      <c r="Z55" s="171">
        <f t="shared" si="34"/>
        <v>62862872136.88138</v>
      </c>
      <c r="AA55" s="171">
        <f t="shared" si="19"/>
        <v>15715718034.220345</v>
      </c>
      <c r="AB55">
        <f t="shared" si="35"/>
        <v>0.21204885406722207</v>
      </c>
    </row>
    <row r="56" spans="1:28" ht="12.75">
      <c r="A56" t="s">
        <v>583</v>
      </c>
      <c r="B56" t="s">
        <v>330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40">
        <v>6131445</v>
      </c>
      <c r="H56" s="105">
        <f t="shared" si="20"/>
        <v>797087.85</v>
      </c>
      <c r="I56" s="171">
        <f t="shared" si="15"/>
        <v>3985439.25</v>
      </c>
      <c r="J56" s="27">
        <f t="shared" si="21"/>
        <v>1454685326.25</v>
      </c>
      <c r="K56" s="171">
        <f t="shared" si="24"/>
        <v>10140000000</v>
      </c>
      <c r="L56" s="171">
        <f t="shared" si="25"/>
        <v>68530.176</v>
      </c>
      <c r="M56" s="171">
        <f t="shared" si="26"/>
        <v>200108113.92000002</v>
      </c>
      <c r="N56" s="171">
        <f t="shared" si="27"/>
        <v>2394.98688</v>
      </c>
      <c r="O56" s="171">
        <f t="shared" si="28"/>
        <v>19159.89504</v>
      </c>
      <c r="P56" s="224">
        <f t="shared" si="16"/>
        <v>6993361.6896</v>
      </c>
      <c r="Q56" s="171">
        <f t="shared" si="29"/>
        <v>9633</v>
      </c>
      <c r="R56" s="171">
        <f t="shared" si="17"/>
        <v>3516045</v>
      </c>
      <c r="S56" s="171">
        <f t="shared" si="30"/>
        <v>1373607016.5633805</v>
      </c>
      <c r="T56" s="171">
        <f t="shared" si="23"/>
        <v>16483284198.760567</v>
      </c>
      <c r="U56" s="171"/>
      <c r="V56" s="171">
        <f t="shared" si="31"/>
        <v>3118901760</v>
      </c>
      <c r="W56" s="171">
        <f t="shared" si="32"/>
        <v>74370816000</v>
      </c>
      <c r="X56" s="171">
        <f t="shared" si="33"/>
        <v>121680000</v>
      </c>
      <c r="Y56" s="171">
        <f t="shared" si="18"/>
        <v>95759984805.62016</v>
      </c>
      <c r="Z56" s="171">
        <f t="shared" si="34"/>
        <v>47879992402.81008</v>
      </c>
      <c r="AA56" s="171">
        <f t="shared" si="19"/>
        <v>11969998100.70252</v>
      </c>
      <c r="AB56">
        <f t="shared" si="35"/>
        <v>0.21177948222491536</v>
      </c>
    </row>
    <row r="57" spans="1:28" ht="12.75">
      <c r="A57" t="s">
        <v>584</v>
      </c>
      <c r="B57" t="s">
        <v>331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40">
        <v>1810354</v>
      </c>
      <c r="H57" s="105">
        <f t="shared" si="20"/>
        <v>235346.02000000002</v>
      </c>
      <c r="I57" s="171">
        <f t="shared" si="15"/>
        <v>1176730.1</v>
      </c>
      <c r="J57" s="27">
        <f t="shared" si="21"/>
        <v>429506486.50000006</v>
      </c>
      <c r="K57" s="171">
        <f t="shared" si="24"/>
        <v>5580000000</v>
      </c>
      <c r="L57" s="171">
        <f t="shared" si="25"/>
        <v>37711.872</v>
      </c>
      <c r="M57" s="171">
        <f t="shared" si="26"/>
        <v>110118666.24000001</v>
      </c>
      <c r="N57" s="171">
        <f t="shared" si="27"/>
        <v>1317.95136</v>
      </c>
      <c r="O57" s="171">
        <f t="shared" si="28"/>
        <v>10543.61088</v>
      </c>
      <c r="P57" s="224">
        <f t="shared" si="16"/>
        <v>3848417.9712</v>
      </c>
      <c r="Q57" s="171">
        <f t="shared" si="29"/>
        <v>5301</v>
      </c>
      <c r="R57" s="171">
        <f t="shared" si="17"/>
        <v>1934865</v>
      </c>
      <c r="S57" s="171">
        <f t="shared" si="30"/>
        <v>755890251.71831</v>
      </c>
      <c r="T57" s="171">
        <f t="shared" si="23"/>
        <v>9070683020.61972</v>
      </c>
      <c r="U57" s="171"/>
      <c r="V57" s="171">
        <f t="shared" si="31"/>
        <v>1716318720</v>
      </c>
      <c r="W57" s="171">
        <f t="shared" si="32"/>
        <v>40925952000</v>
      </c>
      <c r="X57" s="171">
        <f t="shared" si="33"/>
        <v>66960000</v>
      </c>
      <c r="Y57" s="171">
        <f t="shared" si="18"/>
        <v>52325322176.33092</v>
      </c>
      <c r="Z57" s="171">
        <f t="shared" si="34"/>
        <v>26162661088.16546</v>
      </c>
      <c r="AA57" s="171">
        <f t="shared" si="19"/>
        <v>6540665272.041365</v>
      </c>
      <c r="AB57">
        <f t="shared" si="35"/>
        <v>0.21328105658655966</v>
      </c>
    </row>
    <row r="58" spans="1:28" ht="12.75">
      <c r="A58" t="s">
        <v>585</v>
      </c>
      <c r="B58" t="s">
        <v>332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40">
        <v>5472299</v>
      </c>
      <c r="H58" s="105">
        <f t="shared" si="20"/>
        <v>711398.87</v>
      </c>
      <c r="I58" s="171">
        <f t="shared" si="15"/>
        <v>3556994.35</v>
      </c>
      <c r="J58" s="27">
        <f t="shared" si="21"/>
        <v>1298302937.75</v>
      </c>
      <c r="K58" s="171">
        <f t="shared" si="24"/>
        <v>9200000000</v>
      </c>
      <c r="L58" s="171">
        <f t="shared" si="25"/>
        <v>62177.280000000006</v>
      </c>
      <c r="M58" s="171">
        <f t="shared" si="26"/>
        <v>181557657.60000002</v>
      </c>
      <c r="N58" s="171">
        <f t="shared" si="27"/>
        <v>2172.9664000000002</v>
      </c>
      <c r="O58" s="171">
        <f t="shared" si="28"/>
        <v>17383.731200000002</v>
      </c>
      <c r="P58" s="224">
        <f t="shared" si="16"/>
        <v>6345061.888</v>
      </c>
      <c r="Q58" s="171">
        <f t="shared" si="29"/>
        <v>8740</v>
      </c>
      <c r="R58" s="171">
        <f t="shared" si="17"/>
        <v>3190100</v>
      </c>
      <c r="S58" s="171">
        <f t="shared" si="30"/>
        <v>1246270665.915493</v>
      </c>
      <c r="T58" s="171">
        <f t="shared" si="23"/>
        <v>14955247990.985916</v>
      </c>
      <c r="U58" s="171"/>
      <c r="V58" s="171">
        <f t="shared" si="31"/>
        <v>2829772800</v>
      </c>
      <c r="W58" s="171">
        <f t="shared" si="32"/>
        <v>67476480000</v>
      </c>
      <c r="X58" s="171">
        <f t="shared" si="33"/>
        <v>110400000</v>
      </c>
      <c r="Y58" s="171">
        <f t="shared" si="18"/>
        <v>86861296548.2239</v>
      </c>
      <c r="Z58" s="171">
        <f t="shared" si="34"/>
        <v>43430648274.11195</v>
      </c>
      <c r="AA58" s="171">
        <f t="shared" si="19"/>
        <v>10857662068.527988</v>
      </c>
      <c r="AB58">
        <f t="shared" si="35"/>
        <v>0.21183197501299827</v>
      </c>
    </row>
    <row r="59" spans="1:28" ht="12.75">
      <c r="A59" t="s">
        <v>586</v>
      </c>
      <c r="B59" t="s">
        <v>333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40">
        <v>501242</v>
      </c>
      <c r="H59" s="105">
        <f t="shared" si="20"/>
        <v>65161.46</v>
      </c>
      <c r="I59" s="171">
        <f t="shared" si="15"/>
        <v>325807.3</v>
      </c>
      <c r="J59" s="27">
        <f t="shared" si="21"/>
        <v>118919664.5</v>
      </c>
      <c r="K59" s="171">
        <f t="shared" si="24"/>
        <v>9160000000</v>
      </c>
      <c r="L59" s="171">
        <f t="shared" si="25"/>
        <v>61906.94400000001</v>
      </c>
      <c r="M59" s="171">
        <f t="shared" si="26"/>
        <v>180768276.48000002</v>
      </c>
      <c r="N59" s="171">
        <f t="shared" si="27"/>
        <v>2163.51872</v>
      </c>
      <c r="O59" s="171">
        <f t="shared" si="28"/>
        <v>17308.14976</v>
      </c>
      <c r="P59" s="224">
        <f t="shared" si="16"/>
        <v>6317474.6624</v>
      </c>
      <c r="Q59" s="171">
        <f t="shared" si="29"/>
        <v>8702</v>
      </c>
      <c r="R59" s="171">
        <f t="shared" si="17"/>
        <v>3176230</v>
      </c>
      <c r="S59" s="171">
        <f t="shared" si="30"/>
        <v>1240852097.802817</v>
      </c>
      <c r="T59" s="171">
        <f t="shared" si="23"/>
        <v>14890225173.633804</v>
      </c>
      <c r="U59" s="171"/>
      <c r="V59" s="171">
        <f t="shared" si="31"/>
        <v>2817469440</v>
      </c>
      <c r="W59" s="171">
        <f t="shared" si="32"/>
        <v>67183104000</v>
      </c>
      <c r="X59" s="171">
        <f t="shared" si="33"/>
        <v>109920000</v>
      </c>
      <c r="Y59" s="171">
        <f t="shared" si="18"/>
        <v>85309900259.27621</v>
      </c>
      <c r="Z59" s="171">
        <f t="shared" si="34"/>
        <v>42654950129.63811</v>
      </c>
      <c r="AA59" s="171">
        <f t="shared" si="19"/>
        <v>10663737532.409527</v>
      </c>
      <c r="AB59">
        <f t="shared" si="35"/>
        <v>0.2147464707416296</v>
      </c>
    </row>
    <row r="60" spans="1:28" ht="13.5" thickBot="1">
      <c r="A60" t="s">
        <v>587</v>
      </c>
      <c r="B60" s="35" t="s">
        <v>334</v>
      </c>
      <c r="C60" s="35">
        <v>297</v>
      </c>
      <c r="D60" s="35">
        <v>400</v>
      </c>
      <c r="E60" s="320">
        <f t="shared" si="22"/>
        <v>118.8</v>
      </c>
      <c r="F60" s="11">
        <f t="shared" si="14"/>
        <v>160</v>
      </c>
      <c r="G60" s="241">
        <v>3878532</v>
      </c>
      <c r="H60" s="242">
        <f t="shared" si="20"/>
        <v>504209.16000000003</v>
      </c>
      <c r="I60" s="173">
        <f t="shared" si="15"/>
        <v>2521045.8000000003</v>
      </c>
      <c r="J60" s="37">
        <f t="shared" si="21"/>
        <v>920181717.0000001</v>
      </c>
      <c r="K60" s="173">
        <f t="shared" si="24"/>
        <v>2970000000</v>
      </c>
      <c r="L60" s="173">
        <f t="shared" si="25"/>
        <v>20072.448000000004</v>
      </c>
      <c r="M60" s="173">
        <f t="shared" si="26"/>
        <v>58611548.16000001</v>
      </c>
      <c r="N60" s="173">
        <f t="shared" si="27"/>
        <v>701.4902400000001</v>
      </c>
      <c r="O60" s="173">
        <f t="shared" si="28"/>
        <v>5611.921920000001</v>
      </c>
      <c r="P60" s="173">
        <f t="shared" si="16"/>
        <v>2048351.5008000003</v>
      </c>
      <c r="Q60" s="173">
        <f t="shared" si="29"/>
        <v>2821.5</v>
      </c>
      <c r="R60" s="173">
        <f t="shared" si="17"/>
        <v>1029847.5</v>
      </c>
      <c r="S60" s="173">
        <f t="shared" si="30"/>
        <v>402328682.3661972</v>
      </c>
      <c r="T60" s="173">
        <f t="shared" si="23"/>
        <v>4827944188.394367</v>
      </c>
      <c r="U60" s="173"/>
      <c r="V60" s="173">
        <f t="shared" si="31"/>
        <v>913524480</v>
      </c>
      <c r="W60" s="173">
        <f t="shared" si="32"/>
        <v>21783168000</v>
      </c>
      <c r="X60" s="173">
        <f t="shared" si="33"/>
        <v>35640000</v>
      </c>
      <c r="Y60" s="173">
        <f t="shared" si="18"/>
        <v>28542148132.55517</v>
      </c>
      <c r="Z60" s="173">
        <f t="shared" si="34"/>
        <v>14271074066.277584</v>
      </c>
      <c r="AA60" s="173">
        <f t="shared" si="19"/>
        <v>3567768516.569396</v>
      </c>
      <c r="AB60" s="35">
        <f t="shared" si="35"/>
        <v>0.20811327768370866</v>
      </c>
    </row>
    <row r="61" spans="1:27" ht="12.75">
      <c r="A61" t="s">
        <v>391</v>
      </c>
      <c r="C61" s="322">
        <v>54740</v>
      </c>
      <c r="D61" s="322">
        <v>161417</v>
      </c>
      <c r="E61" s="321">
        <f>SUM(E9:E60)</f>
        <v>21896</v>
      </c>
      <c r="F61" s="321"/>
      <c r="J61" s="27">
        <f>SUM(J9:J60)</f>
        <v>69914801310.25</v>
      </c>
      <c r="K61" s="171"/>
      <c r="L61" s="171"/>
      <c r="M61" s="171">
        <f>SUM(M9:M60)</f>
        <v>10802680627.199999</v>
      </c>
      <c r="N61" s="171"/>
      <c r="O61" s="171"/>
      <c r="P61" s="171">
        <f>SUM(P9:P60)</f>
        <v>377531182.336</v>
      </c>
      <c r="Q61" s="171"/>
      <c r="R61" s="171">
        <f>SUM(R9:R60)</f>
        <v>189810950</v>
      </c>
      <c r="S61" s="171"/>
      <c r="T61" s="171">
        <f>SUM(T9:T60)</f>
        <v>889837255463.6624</v>
      </c>
      <c r="U61" s="171"/>
      <c r="V61" s="171">
        <f>SUM(V9:V60)</f>
        <v>168371481600</v>
      </c>
      <c r="W61" s="171">
        <f>SUM(W8:W60)</f>
        <v>4014923904000</v>
      </c>
      <c r="X61" s="171">
        <f>SUM(X8:X60)</f>
        <v>6568920000</v>
      </c>
      <c r="Y61" s="171">
        <f t="shared" si="18"/>
        <v>5160986385133.448</v>
      </c>
      <c r="Z61" s="171">
        <f t="shared" si="34"/>
        <v>2580493192566.724</v>
      </c>
      <c r="AA61" s="171"/>
    </row>
    <row r="62" spans="1:28" s="212" customFormat="1" ht="24" customHeight="1">
      <c r="A62" s="212" t="s">
        <v>392</v>
      </c>
      <c r="E62" s="11">
        <f>SUM(D61/5)*$E$8</f>
        <v>64566.8</v>
      </c>
      <c r="F62" s="11"/>
      <c r="H62" s="213"/>
      <c r="I62" s="213"/>
      <c r="J62" s="214">
        <f aca="true" t="shared" si="36" ref="J62:X62">SUM(J61/$Y$61)</f>
        <v>0.013546790495639373</v>
      </c>
      <c r="K62" s="214"/>
      <c r="L62" s="214"/>
      <c r="M62" s="214">
        <f t="shared" si="36"/>
        <v>0.002093142632252976</v>
      </c>
      <c r="N62" s="214"/>
      <c r="O62" s="214"/>
      <c r="P62" s="214">
        <f t="shared" si="36"/>
        <v>7.315097428342434E-05</v>
      </c>
      <c r="Q62" s="214"/>
      <c r="R62" s="214">
        <f t="shared" si="36"/>
        <v>3.6778037343164205E-05</v>
      </c>
      <c r="S62" s="214"/>
      <c r="T62" s="214">
        <f t="shared" si="36"/>
        <v>0.17241612146602353</v>
      </c>
      <c r="U62" s="214"/>
      <c r="V62" s="214">
        <f t="shared" si="36"/>
        <v>0.03262389571206869</v>
      </c>
      <c r="W62" s="214">
        <f t="shared" si="36"/>
        <v>0.7779373174797061</v>
      </c>
      <c r="X62" s="214">
        <f t="shared" si="36"/>
        <v>0.0012728032026827652</v>
      </c>
      <c r="Y62" s="214">
        <f>SUM(Y61/$Y$61)</f>
        <v>1</v>
      </c>
      <c r="Z62" s="215"/>
      <c r="AA62" s="215"/>
      <c r="AB62" s="216"/>
    </row>
    <row r="63" spans="1:24" ht="12.75">
      <c r="A63" t="s">
        <v>519</v>
      </c>
      <c r="W63" s="217" t="s">
        <v>393</v>
      </c>
      <c r="X63" s="171">
        <f>SUM(Y61-Z61)</f>
        <v>2580493192566.724</v>
      </c>
    </row>
    <row r="65" spans="10:25" ht="13.5" thickBot="1">
      <c r="J65" s="37"/>
      <c r="Y65" s="171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4">
      <selection activeCell="B25" sqref="B25"/>
    </sheetView>
  </sheetViews>
  <sheetFormatPr defaultColWidth="9.140625" defaultRowHeight="12.75"/>
  <sheetData>
    <row r="1" spans="1:7" ht="45">
      <c r="A1" s="232" t="s">
        <v>456</v>
      </c>
      <c r="B1" s="233" t="s">
        <v>457</v>
      </c>
      <c r="C1" s="233" t="s">
        <v>458</v>
      </c>
      <c r="D1" s="233" t="s">
        <v>459</v>
      </c>
      <c r="E1" s="233" t="s">
        <v>460</v>
      </c>
      <c r="F1" s="233" t="s">
        <v>461</v>
      </c>
      <c r="G1" s="234" t="s">
        <v>462</v>
      </c>
    </row>
    <row r="2" spans="1:7" ht="18">
      <c r="A2" s="235" t="s">
        <v>463</v>
      </c>
      <c r="B2" s="231">
        <v>290809777</v>
      </c>
      <c r="C2" s="231">
        <v>287973924</v>
      </c>
      <c r="D2" s="231">
        <v>285093813</v>
      </c>
      <c r="E2" s="231">
        <v>282177754</v>
      </c>
      <c r="F2" s="231">
        <v>281423231</v>
      </c>
      <c r="G2" s="236">
        <v>281421906</v>
      </c>
    </row>
    <row r="3" spans="1:7" ht="12.75">
      <c r="A3" s="235" t="s">
        <v>464</v>
      </c>
      <c r="B3" s="231">
        <v>4500752</v>
      </c>
      <c r="C3" s="231">
        <v>4478896</v>
      </c>
      <c r="D3" s="231">
        <v>4466440</v>
      </c>
      <c r="E3" s="231">
        <v>4451601</v>
      </c>
      <c r="F3" s="231">
        <v>4447100</v>
      </c>
      <c r="G3" s="236">
        <v>4447100</v>
      </c>
    </row>
    <row r="4" spans="1:7" ht="12.75">
      <c r="A4" s="235" t="s">
        <v>465</v>
      </c>
      <c r="B4" s="231">
        <v>648818</v>
      </c>
      <c r="C4" s="231">
        <v>641482</v>
      </c>
      <c r="D4" s="231">
        <v>632674</v>
      </c>
      <c r="E4" s="231">
        <v>627576</v>
      </c>
      <c r="F4" s="231">
        <v>626931</v>
      </c>
      <c r="G4" s="236">
        <v>626932</v>
      </c>
    </row>
    <row r="5" spans="1:7" ht="12.75">
      <c r="A5" s="235" t="s">
        <v>466</v>
      </c>
      <c r="B5" s="231">
        <v>5580811</v>
      </c>
      <c r="C5" s="231">
        <v>5441125</v>
      </c>
      <c r="D5" s="231">
        <v>5297684</v>
      </c>
      <c r="E5" s="231">
        <v>5165765</v>
      </c>
      <c r="F5" s="231">
        <v>5130632</v>
      </c>
      <c r="G5" s="236">
        <v>5130632</v>
      </c>
    </row>
    <row r="6" spans="1:7" ht="12.75">
      <c r="A6" s="235" t="s">
        <v>467</v>
      </c>
      <c r="B6" s="231">
        <v>2725714</v>
      </c>
      <c r="C6" s="231">
        <v>2706268</v>
      </c>
      <c r="D6" s="231">
        <v>2692041</v>
      </c>
      <c r="E6" s="231">
        <v>2678322</v>
      </c>
      <c r="F6" s="231">
        <v>2673398</v>
      </c>
      <c r="G6" s="236">
        <v>2673400</v>
      </c>
    </row>
    <row r="7" spans="1:7" ht="18">
      <c r="A7" s="235" t="s">
        <v>468</v>
      </c>
      <c r="B7" s="231">
        <v>35484453</v>
      </c>
      <c r="C7" s="231">
        <v>35001986</v>
      </c>
      <c r="D7" s="231">
        <v>34533054</v>
      </c>
      <c r="E7" s="231">
        <v>33999879</v>
      </c>
      <c r="F7" s="231">
        <v>33871653</v>
      </c>
      <c r="G7" s="236">
        <v>33871648</v>
      </c>
    </row>
    <row r="8" spans="1:7" ht="12.75">
      <c r="A8" s="235" t="s">
        <v>469</v>
      </c>
      <c r="B8" s="231">
        <v>4550688</v>
      </c>
      <c r="C8" s="231">
        <v>4501051</v>
      </c>
      <c r="D8" s="231">
        <v>4428786</v>
      </c>
      <c r="E8" s="231">
        <v>4326872</v>
      </c>
      <c r="F8" s="231">
        <v>4301997</v>
      </c>
      <c r="G8" s="236">
        <v>4301261</v>
      </c>
    </row>
    <row r="9" spans="1:7" ht="18">
      <c r="A9" s="235" t="s">
        <v>470</v>
      </c>
      <c r="B9" s="231">
        <v>3483372</v>
      </c>
      <c r="C9" s="231">
        <v>3458587</v>
      </c>
      <c r="D9" s="231">
        <v>3432550</v>
      </c>
      <c r="E9" s="231">
        <v>3411750</v>
      </c>
      <c r="F9" s="231">
        <v>3405584</v>
      </c>
      <c r="G9" s="236">
        <v>3405565</v>
      </c>
    </row>
    <row r="10" spans="1:7" ht="12.75">
      <c r="A10" s="235" t="s">
        <v>471</v>
      </c>
      <c r="B10" s="231">
        <v>817491</v>
      </c>
      <c r="C10" s="231">
        <v>805945</v>
      </c>
      <c r="D10" s="231">
        <v>795576</v>
      </c>
      <c r="E10" s="231">
        <v>786397</v>
      </c>
      <c r="F10" s="231">
        <v>783600</v>
      </c>
      <c r="G10" s="236">
        <v>783600</v>
      </c>
    </row>
    <row r="11" spans="1:7" ht="18">
      <c r="A11" s="235" t="s">
        <v>472</v>
      </c>
      <c r="B11" s="231">
        <v>563384</v>
      </c>
      <c r="C11" s="231">
        <v>569157</v>
      </c>
      <c r="D11" s="231">
        <v>572716</v>
      </c>
      <c r="E11" s="231">
        <v>571437</v>
      </c>
      <c r="F11" s="231">
        <v>572059</v>
      </c>
      <c r="G11" s="236">
        <v>572059</v>
      </c>
    </row>
    <row r="12" spans="1:7" ht="12.75">
      <c r="A12" s="235" t="s">
        <v>473</v>
      </c>
      <c r="B12" s="231">
        <v>17019068</v>
      </c>
      <c r="C12" s="231">
        <v>16691701</v>
      </c>
      <c r="D12" s="231">
        <v>16355193</v>
      </c>
      <c r="E12" s="231">
        <v>16047807</v>
      </c>
      <c r="F12" s="231">
        <v>15982820</v>
      </c>
      <c r="G12" s="236">
        <v>15982378</v>
      </c>
    </row>
    <row r="13" spans="1:7" ht="12.75">
      <c r="A13" s="235" t="s">
        <v>474</v>
      </c>
      <c r="B13" s="231">
        <v>8684715</v>
      </c>
      <c r="C13" s="231">
        <v>8544005</v>
      </c>
      <c r="D13" s="231">
        <v>8394795</v>
      </c>
      <c r="E13" s="231">
        <v>8230094</v>
      </c>
      <c r="F13" s="231">
        <v>8186517</v>
      </c>
      <c r="G13" s="236">
        <v>8186453</v>
      </c>
    </row>
    <row r="14" spans="1:7" ht="12.75">
      <c r="A14" s="235" t="s">
        <v>475</v>
      </c>
      <c r="B14" s="231">
        <v>1257608</v>
      </c>
      <c r="C14" s="231">
        <v>1240663</v>
      </c>
      <c r="D14" s="231">
        <v>1225038</v>
      </c>
      <c r="E14" s="231">
        <v>1212343</v>
      </c>
      <c r="F14" s="231">
        <v>1211537</v>
      </c>
      <c r="G14" s="236">
        <v>1211537</v>
      </c>
    </row>
    <row r="15" spans="1:7" ht="12.75">
      <c r="A15" s="235" t="s">
        <v>476</v>
      </c>
      <c r="B15" s="231">
        <v>1366332</v>
      </c>
      <c r="C15" s="231">
        <v>1343124</v>
      </c>
      <c r="D15" s="231">
        <v>1321309</v>
      </c>
      <c r="E15" s="231">
        <v>1299610</v>
      </c>
      <c r="F15" s="231">
        <v>1293956</v>
      </c>
      <c r="G15" s="236">
        <v>1293953</v>
      </c>
    </row>
    <row r="16" spans="1:7" ht="12.75">
      <c r="A16" s="235" t="s">
        <v>477</v>
      </c>
      <c r="B16" s="231">
        <v>12653544</v>
      </c>
      <c r="C16" s="231">
        <v>12586447</v>
      </c>
      <c r="D16" s="231">
        <v>12517168</v>
      </c>
      <c r="E16" s="231">
        <v>12438824</v>
      </c>
      <c r="F16" s="231">
        <v>12419570</v>
      </c>
      <c r="G16" s="236">
        <v>12419293</v>
      </c>
    </row>
    <row r="17" spans="1:7" ht="12.75">
      <c r="A17" s="235" t="s">
        <v>478</v>
      </c>
      <c r="B17" s="231">
        <v>6195643</v>
      </c>
      <c r="C17" s="231">
        <v>6156913</v>
      </c>
      <c r="D17" s="231">
        <v>6126470</v>
      </c>
      <c r="E17" s="231">
        <v>6091535</v>
      </c>
      <c r="F17" s="231">
        <v>6080506</v>
      </c>
      <c r="G17" s="236">
        <v>6080485</v>
      </c>
    </row>
    <row r="18" spans="1:7" ht="12.75">
      <c r="A18" s="235" t="s">
        <v>479</v>
      </c>
      <c r="B18" s="231">
        <v>2944062</v>
      </c>
      <c r="C18" s="231">
        <v>2935840</v>
      </c>
      <c r="D18" s="231">
        <v>2932225</v>
      </c>
      <c r="E18" s="231">
        <v>2928514</v>
      </c>
      <c r="F18" s="231">
        <v>2926382</v>
      </c>
      <c r="G18" s="236">
        <v>2926324</v>
      </c>
    </row>
    <row r="19" spans="1:7" ht="12.75">
      <c r="A19" s="235" t="s">
        <v>480</v>
      </c>
      <c r="B19" s="231">
        <v>2723507</v>
      </c>
      <c r="C19" s="231">
        <v>2711769</v>
      </c>
      <c r="D19" s="231">
        <v>2700453</v>
      </c>
      <c r="E19" s="231">
        <v>2692643</v>
      </c>
      <c r="F19" s="231">
        <v>2688814</v>
      </c>
      <c r="G19" s="236">
        <v>2688418</v>
      </c>
    </row>
    <row r="20" spans="1:7" ht="12.75">
      <c r="A20" s="235" t="s">
        <v>481</v>
      </c>
      <c r="B20" s="231">
        <v>4117827</v>
      </c>
      <c r="C20" s="231">
        <v>4089822</v>
      </c>
      <c r="D20" s="231">
        <v>4067336</v>
      </c>
      <c r="E20" s="231">
        <v>4048635</v>
      </c>
      <c r="F20" s="231">
        <v>4042209</v>
      </c>
      <c r="G20" s="236">
        <v>4041769</v>
      </c>
    </row>
    <row r="21" spans="1:7" ht="18">
      <c r="A21" s="235" t="s">
        <v>482</v>
      </c>
      <c r="B21" s="231">
        <v>4496334</v>
      </c>
      <c r="C21" s="231">
        <v>4476192</v>
      </c>
      <c r="D21" s="231">
        <v>4466001</v>
      </c>
      <c r="E21" s="231">
        <v>4469216</v>
      </c>
      <c r="F21" s="231">
        <v>4468958</v>
      </c>
      <c r="G21" s="236">
        <v>4468976</v>
      </c>
    </row>
    <row r="22" spans="1:7" ht="12.75">
      <c r="A22" s="235" t="s">
        <v>483</v>
      </c>
      <c r="B22" s="231">
        <v>1305728</v>
      </c>
      <c r="C22" s="231">
        <v>1294894</v>
      </c>
      <c r="D22" s="231">
        <v>1284691</v>
      </c>
      <c r="E22" s="231">
        <v>1277280</v>
      </c>
      <c r="F22" s="231">
        <v>1274923</v>
      </c>
      <c r="G22" s="236">
        <v>1274923</v>
      </c>
    </row>
    <row r="23" spans="1:7" ht="12.75">
      <c r="A23" s="235" t="s">
        <v>484</v>
      </c>
      <c r="B23" s="231">
        <v>5508909</v>
      </c>
      <c r="C23" s="231">
        <v>5450525</v>
      </c>
      <c r="D23" s="231">
        <v>5383377</v>
      </c>
      <c r="E23" s="231">
        <v>5311531</v>
      </c>
      <c r="F23" s="231">
        <v>5296485</v>
      </c>
      <c r="G23" s="236">
        <v>5296486</v>
      </c>
    </row>
    <row r="24" spans="1:7" ht="18">
      <c r="A24" s="235" t="s">
        <v>485</v>
      </c>
      <c r="B24" s="231">
        <v>6433422</v>
      </c>
      <c r="C24" s="231">
        <v>6421800</v>
      </c>
      <c r="D24" s="231">
        <v>6399869</v>
      </c>
      <c r="E24" s="231">
        <v>6362076</v>
      </c>
      <c r="F24" s="231">
        <v>6349097</v>
      </c>
      <c r="G24" s="236">
        <v>6349097</v>
      </c>
    </row>
    <row r="25" spans="1:7" ht="12.75">
      <c r="A25" s="235" t="s">
        <v>486</v>
      </c>
      <c r="B25" s="231">
        <v>10079985</v>
      </c>
      <c r="C25" s="231">
        <v>10043221</v>
      </c>
      <c r="D25" s="231">
        <v>10005218</v>
      </c>
      <c r="E25" s="231">
        <v>9955795</v>
      </c>
      <c r="F25" s="231">
        <v>9938480</v>
      </c>
      <c r="G25" s="236">
        <v>9938444</v>
      </c>
    </row>
    <row r="26" spans="1:7" ht="18">
      <c r="A26" s="235" t="s">
        <v>487</v>
      </c>
      <c r="B26" s="231">
        <v>5059375</v>
      </c>
      <c r="C26" s="231">
        <v>5024791</v>
      </c>
      <c r="D26" s="231">
        <v>4985202</v>
      </c>
      <c r="E26" s="231">
        <v>4933648</v>
      </c>
      <c r="F26" s="231">
        <v>4919485</v>
      </c>
      <c r="G26" s="236">
        <v>4919479</v>
      </c>
    </row>
    <row r="27" spans="1:7" ht="18">
      <c r="A27" s="235" t="s">
        <v>488</v>
      </c>
      <c r="B27" s="231">
        <v>2881281</v>
      </c>
      <c r="C27" s="231">
        <v>2866733</v>
      </c>
      <c r="D27" s="231">
        <v>2857716</v>
      </c>
      <c r="E27" s="231">
        <v>2848440</v>
      </c>
      <c r="F27" s="231">
        <v>2844656</v>
      </c>
      <c r="G27" s="236">
        <v>2844658</v>
      </c>
    </row>
    <row r="28" spans="1:7" ht="12.75">
      <c r="A28" s="235" t="s">
        <v>489</v>
      </c>
      <c r="B28" s="231">
        <v>5704484</v>
      </c>
      <c r="C28" s="231">
        <v>5669544</v>
      </c>
      <c r="D28" s="231">
        <v>5636220</v>
      </c>
      <c r="E28" s="231">
        <v>5605995</v>
      </c>
      <c r="F28" s="231">
        <v>5596683</v>
      </c>
      <c r="G28" s="236">
        <v>5595211</v>
      </c>
    </row>
    <row r="29" spans="1:7" ht="12.75">
      <c r="A29" s="235" t="s">
        <v>490</v>
      </c>
      <c r="B29" s="231">
        <v>917621</v>
      </c>
      <c r="C29" s="231">
        <v>910372</v>
      </c>
      <c r="D29" s="231">
        <v>905954</v>
      </c>
      <c r="E29" s="231">
        <v>903380</v>
      </c>
      <c r="F29" s="231">
        <v>902195</v>
      </c>
      <c r="G29" s="236">
        <v>902195</v>
      </c>
    </row>
    <row r="30" spans="1:7" ht="12.75">
      <c r="A30" s="235" t="s">
        <v>491</v>
      </c>
      <c r="B30" s="231">
        <v>1739291</v>
      </c>
      <c r="C30" s="231">
        <v>1727564</v>
      </c>
      <c r="D30" s="231">
        <v>1719000</v>
      </c>
      <c r="E30" s="231">
        <v>1713165</v>
      </c>
      <c r="F30" s="231">
        <v>1711265</v>
      </c>
      <c r="G30" s="236">
        <v>1711263</v>
      </c>
    </row>
    <row r="31" spans="1:7" ht="12.75">
      <c r="A31" s="235" t="s">
        <v>492</v>
      </c>
      <c r="B31" s="231">
        <v>2241154</v>
      </c>
      <c r="C31" s="231">
        <v>2167455</v>
      </c>
      <c r="D31" s="231">
        <v>2094633</v>
      </c>
      <c r="E31" s="231">
        <v>2018104</v>
      </c>
      <c r="F31" s="231">
        <v>1998257</v>
      </c>
      <c r="G31" s="236">
        <v>1998257</v>
      </c>
    </row>
    <row r="32" spans="1:7" ht="18">
      <c r="A32" s="235" t="s">
        <v>493</v>
      </c>
      <c r="B32" s="231">
        <v>1287687</v>
      </c>
      <c r="C32" s="231">
        <v>1274405</v>
      </c>
      <c r="D32" s="231">
        <v>1258974</v>
      </c>
      <c r="E32" s="231">
        <v>1240472</v>
      </c>
      <c r="F32" s="231">
        <v>1235786</v>
      </c>
      <c r="G32" s="236">
        <v>1235786</v>
      </c>
    </row>
    <row r="33" spans="1:7" ht="18">
      <c r="A33" s="235" t="s">
        <v>494</v>
      </c>
      <c r="B33" s="231">
        <v>8638396</v>
      </c>
      <c r="C33" s="231">
        <v>8575252</v>
      </c>
      <c r="D33" s="231">
        <v>8504114</v>
      </c>
      <c r="E33" s="231">
        <v>8432116</v>
      </c>
      <c r="F33" s="231">
        <v>8414347</v>
      </c>
      <c r="G33" s="236">
        <v>8414350</v>
      </c>
    </row>
    <row r="34" spans="1:7" ht="18">
      <c r="A34" s="235" t="s">
        <v>495</v>
      </c>
      <c r="B34" s="231">
        <v>1874614</v>
      </c>
      <c r="C34" s="231">
        <v>1852044</v>
      </c>
      <c r="D34" s="231">
        <v>1829110</v>
      </c>
      <c r="E34" s="231">
        <v>1821544</v>
      </c>
      <c r="F34" s="231">
        <v>1819046</v>
      </c>
      <c r="G34" s="236">
        <v>1819046</v>
      </c>
    </row>
    <row r="35" spans="1:7" ht="12.75">
      <c r="A35" s="235" t="s">
        <v>496</v>
      </c>
      <c r="B35" s="231">
        <v>19190115</v>
      </c>
      <c r="C35" s="231">
        <v>19134293</v>
      </c>
      <c r="D35" s="231">
        <v>19074843</v>
      </c>
      <c r="E35" s="231">
        <v>18997344</v>
      </c>
      <c r="F35" s="231">
        <v>18976821</v>
      </c>
      <c r="G35" s="236">
        <v>18976457</v>
      </c>
    </row>
    <row r="36" spans="1:7" ht="18">
      <c r="A36" s="235" t="s">
        <v>497</v>
      </c>
      <c r="B36" s="231">
        <v>8407248</v>
      </c>
      <c r="C36" s="231">
        <v>8305820</v>
      </c>
      <c r="D36" s="231">
        <v>8195249</v>
      </c>
      <c r="E36" s="231">
        <v>8077662</v>
      </c>
      <c r="F36" s="231">
        <v>8046451</v>
      </c>
      <c r="G36" s="236">
        <v>8049313</v>
      </c>
    </row>
    <row r="37" spans="1:7" ht="18">
      <c r="A37" s="235" t="s">
        <v>498</v>
      </c>
      <c r="B37" s="231">
        <v>633837</v>
      </c>
      <c r="C37" s="231">
        <v>633911</v>
      </c>
      <c r="D37" s="231">
        <v>636285</v>
      </c>
      <c r="E37" s="231">
        <v>641082</v>
      </c>
      <c r="F37" s="231">
        <v>642200</v>
      </c>
      <c r="G37" s="236">
        <v>642200</v>
      </c>
    </row>
    <row r="38" spans="1:7" ht="12.75">
      <c r="A38" s="235" t="s">
        <v>499</v>
      </c>
      <c r="B38" s="231">
        <v>11435798</v>
      </c>
      <c r="C38" s="231">
        <v>11408699</v>
      </c>
      <c r="D38" s="231">
        <v>11385833</v>
      </c>
      <c r="E38" s="231">
        <v>11363337</v>
      </c>
      <c r="F38" s="231">
        <v>11353143</v>
      </c>
      <c r="G38" s="236">
        <v>11353140</v>
      </c>
    </row>
    <row r="39" spans="1:7" ht="18">
      <c r="A39" s="235" t="s">
        <v>500</v>
      </c>
      <c r="B39" s="231">
        <v>3511532</v>
      </c>
      <c r="C39" s="231">
        <v>3489700</v>
      </c>
      <c r="D39" s="231">
        <v>3467181</v>
      </c>
      <c r="E39" s="231">
        <v>3453996</v>
      </c>
      <c r="F39" s="231">
        <v>3450654</v>
      </c>
      <c r="G39" s="236">
        <v>3450654</v>
      </c>
    </row>
    <row r="40" spans="1:7" ht="12.75">
      <c r="A40" s="235" t="s">
        <v>501</v>
      </c>
      <c r="B40" s="231">
        <v>3559596</v>
      </c>
      <c r="C40" s="231">
        <v>3520355</v>
      </c>
      <c r="D40" s="231">
        <v>3472629</v>
      </c>
      <c r="E40" s="231">
        <v>3430706</v>
      </c>
      <c r="F40" s="231">
        <v>3421432</v>
      </c>
      <c r="G40" s="236">
        <v>3421399</v>
      </c>
    </row>
    <row r="41" spans="1:7" ht="18">
      <c r="A41" s="235" t="s">
        <v>502</v>
      </c>
      <c r="B41" s="231">
        <v>12365455</v>
      </c>
      <c r="C41" s="231">
        <v>12328827</v>
      </c>
      <c r="D41" s="231">
        <v>12298363</v>
      </c>
      <c r="E41" s="231">
        <v>12285492</v>
      </c>
      <c r="F41" s="231">
        <v>12281054</v>
      </c>
      <c r="G41" s="236">
        <v>12281054</v>
      </c>
    </row>
    <row r="42" spans="1:7" ht="18">
      <c r="A42" s="235" t="s">
        <v>503</v>
      </c>
      <c r="B42" s="231">
        <v>1076164</v>
      </c>
      <c r="C42" s="231">
        <v>1068326</v>
      </c>
      <c r="D42" s="231">
        <v>1058992</v>
      </c>
      <c r="E42" s="231">
        <v>1050664</v>
      </c>
      <c r="F42" s="231">
        <v>1048319</v>
      </c>
      <c r="G42" s="236">
        <v>1048319</v>
      </c>
    </row>
    <row r="43" spans="1:7" ht="18">
      <c r="A43" s="235" t="s">
        <v>504</v>
      </c>
      <c r="B43" s="231">
        <v>4147152</v>
      </c>
      <c r="C43" s="231">
        <v>4103770</v>
      </c>
      <c r="D43" s="231">
        <v>4059818</v>
      </c>
      <c r="E43" s="231">
        <v>4023129</v>
      </c>
      <c r="F43" s="231">
        <v>4011848</v>
      </c>
      <c r="G43" s="236">
        <v>4012012</v>
      </c>
    </row>
    <row r="44" spans="1:7" ht="18">
      <c r="A44" s="235" t="s">
        <v>505</v>
      </c>
      <c r="B44" s="231">
        <v>764309</v>
      </c>
      <c r="C44" s="231">
        <v>760437</v>
      </c>
      <c r="D44" s="231">
        <v>758156</v>
      </c>
      <c r="E44" s="231">
        <v>755683</v>
      </c>
      <c r="F44" s="231">
        <v>754844</v>
      </c>
      <c r="G44" s="236">
        <v>754844</v>
      </c>
    </row>
    <row r="45" spans="1:7" ht="18">
      <c r="A45" s="235" t="s">
        <v>506</v>
      </c>
      <c r="B45" s="231">
        <v>5841748</v>
      </c>
      <c r="C45" s="231">
        <v>5789796</v>
      </c>
      <c r="D45" s="231">
        <v>5745808</v>
      </c>
      <c r="E45" s="231">
        <v>5702670</v>
      </c>
      <c r="F45" s="231">
        <v>5689262</v>
      </c>
      <c r="G45" s="236">
        <v>5689283</v>
      </c>
    </row>
    <row r="46" spans="1:7" ht="12.75">
      <c r="A46" s="235" t="s">
        <v>507</v>
      </c>
      <c r="B46" s="231">
        <v>22118509</v>
      </c>
      <c r="C46" s="231">
        <v>21736925</v>
      </c>
      <c r="D46" s="231">
        <v>21340598</v>
      </c>
      <c r="E46" s="231">
        <v>20949316</v>
      </c>
      <c r="F46" s="231">
        <v>20851790</v>
      </c>
      <c r="G46" s="236">
        <v>20851820</v>
      </c>
    </row>
    <row r="47" spans="1:7" ht="12.75">
      <c r="A47" s="235" t="s">
        <v>508</v>
      </c>
      <c r="B47" s="231">
        <v>2351467</v>
      </c>
      <c r="C47" s="231">
        <v>2318789</v>
      </c>
      <c r="D47" s="231">
        <v>2279590</v>
      </c>
      <c r="E47" s="231">
        <v>2243129</v>
      </c>
      <c r="F47" s="231">
        <v>2233198</v>
      </c>
      <c r="G47" s="236">
        <v>2233169</v>
      </c>
    </row>
    <row r="48" spans="1:7" ht="12.75">
      <c r="A48" s="235" t="s">
        <v>509</v>
      </c>
      <c r="B48" s="231">
        <v>619107</v>
      </c>
      <c r="C48" s="231">
        <v>616408</v>
      </c>
      <c r="D48" s="231">
        <v>612923</v>
      </c>
      <c r="E48" s="231">
        <v>609932</v>
      </c>
      <c r="F48" s="231">
        <v>608827</v>
      </c>
      <c r="G48" s="236">
        <v>608827</v>
      </c>
    </row>
    <row r="49" spans="1:7" ht="12.75">
      <c r="A49" s="235" t="s">
        <v>510</v>
      </c>
      <c r="B49" s="231">
        <v>7386330</v>
      </c>
      <c r="C49" s="231">
        <v>7287829</v>
      </c>
      <c r="D49" s="231">
        <v>7192697</v>
      </c>
      <c r="E49" s="231">
        <v>7104852</v>
      </c>
      <c r="F49" s="231">
        <v>7078483</v>
      </c>
      <c r="G49" s="236">
        <v>7078515</v>
      </c>
    </row>
    <row r="50" spans="1:7" ht="18">
      <c r="A50" s="235" t="s">
        <v>511</v>
      </c>
      <c r="B50" s="231">
        <v>6131445</v>
      </c>
      <c r="C50" s="231">
        <v>6067060</v>
      </c>
      <c r="D50" s="231">
        <v>5992760</v>
      </c>
      <c r="E50" s="231">
        <v>5911043</v>
      </c>
      <c r="F50" s="231">
        <v>5894141</v>
      </c>
      <c r="G50" s="236">
        <v>5894121</v>
      </c>
    </row>
    <row r="51" spans="1:7" ht="18">
      <c r="A51" s="235" t="s">
        <v>512</v>
      </c>
      <c r="B51" s="231">
        <v>1810354</v>
      </c>
      <c r="C51" s="231">
        <v>1804884</v>
      </c>
      <c r="D51" s="231">
        <v>1801641</v>
      </c>
      <c r="E51" s="231">
        <v>1807326</v>
      </c>
      <c r="F51" s="231">
        <v>1808350</v>
      </c>
      <c r="G51" s="236">
        <v>1808344</v>
      </c>
    </row>
    <row r="52" spans="1:7" ht="18">
      <c r="A52" s="235" t="s">
        <v>513</v>
      </c>
      <c r="B52" s="231">
        <v>5472299</v>
      </c>
      <c r="C52" s="231">
        <v>5439692</v>
      </c>
      <c r="D52" s="231">
        <v>5405140</v>
      </c>
      <c r="E52" s="231">
        <v>5373947</v>
      </c>
      <c r="F52" s="231">
        <v>5363704</v>
      </c>
      <c r="G52" s="236">
        <v>5363675</v>
      </c>
    </row>
    <row r="53" spans="1:7" ht="12.75">
      <c r="A53" s="235" t="s">
        <v>514</v>
      </c>
      <c r="B53" s="231">
        <v>501242</v>
      </c>
      <c r="C53" s="231">
        <v>498830</v>
      </c>
      <c r="D53" s="231">
        <v>493720</v>
      </c>
      <c r="E53" s="231">
        <v>494078</v>
      </c>
      <c r="F53" s="231">
        <v>493782</v>
      </c>
      <c r="G53" s="236">
        <v>493782</v>
      </c>
    </row>
    <row r="54" spans="1:7" ht="18.75" thickBot="1">
      <c r="A54" s="237" t="s">
        <v>515</v>
      </c>
      <c r="B54" s="238">
        <v>3878532</v>
      </c>
      <c r="C54" s="238">
        <v>3859523</v>
      </c>
      <c r="D54" s="238">
        <v>3839119</v>
      </c>
      <c r="E54" s="238">
        <v>3815909</v>
      </c>
      <c r="F54" s="238">
        <v>3808603</v>
      </c>
      <c r="G54" s="239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8">
      <selection activeCell="G16" sqref="G16"/>
    </sheetView>
  </sheetViews>
  <sheetFormatPr defaultColWidth="9.140625" defaultRowHeight="12.75"/>
  <cols>
    <col min="1" max="1" width="14.8515625" style="0" bestFit="1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202" t="s">
        <v>336</v>
      </c>
    </row>
    <row r="6" spans="1:7" ht="12.75">
      <c r="A6" s="30" t="s">
        <v>36</v>
      </c>
      <c r="B6" s="30"/>
      <c r="C6" s="30" t="s">
        <v>337</v>
      </c>
      <c r="D6" s="30" t="s">
        <v>346</v>
      </c>
      <c r="E6" s="30" t="s">
        <v>349</v>
      </c>
      <c r="F6" s="30" t="s">
        <v>347</v>
      </c>
      <c r="G6" s="30" t="s">
        <v>348</v>
      </c>
    </row>
    <row r="7" spans="1:7" ht="12.75">
      <c r="A7" s="180">
        <f>'Costs per kilometer'!$A$53</f>
        <v>142</v>
      </c>
      <c r="B7" t="s">
        <v>47</v>
      </c>
      <c r="C7" s="180" t="s">
        <v>338</v>
      </c>
      <c r="D7" s="185">
        <v>4000</v>
      </c>
      <c r="E7" s="139">
        <f>SUM(F7/30)</f>
        <v>18933.333333333332</v>
      </c>
      <c r="F7" s="150">
        <f aca="true" t="shared" si="0" ref="F7:F15">SUM(D7*A7)</f>
        <v>568000</v>
      </c>
      <c r="G7" s="27">
        <f>SUM(F7*12)</f>
        <v>6816000</v>
      </c>
    </row>
    <row r="8" spans="1:7" ht="12.75">
      <c r="A8" s="180">
        <f>'Costs per kilometer'!$A$41</f>
        <v>4</v>
      </c>
      <c r="B8" t="s">
        <v>58</v>
      </c>
      <c r="C8" t="s">
        <v>59</v>
      </c>
      <c r="D8" s="182">
        <v>1500000</v>
      </c>
      <c r="E8" s="139">
        <f aca="true" t="shared" si="1" ref="E8:E15">SUM(F8/30)</f>
        <v>200000</v>
      </c>
      <c r="F8" s="150">
        <f t="shared" si="0"/>
        <v>6000000</v>
      </c>
      <c r="G8" s="27">
        <f aca="true" t="shared" si="2" ref="G8:G15">SUM(F8*12)</f>
        <v>72000000</v>
      </c>
    </row>
    <row r="9" spans="1:7" ht="12.75">
      <c r="A9" s="180">
        <f>'Costs per kilometer'!$A$42</f>
        <v>88</v>
      </c>
      <c r="B9" t="s">
        <v>58</v>
      </c>
      <c r="C9" t="s">
        <v>342</v>
      </c>
      <c r="D9" s="182">
        <v>800000</v>
      </c>
      <c r="E9" s="139">
        <f t="shared" si="1"/>
        <v>2346666.6666666665</v>
      </c>
      <c r="F9" s="150">
        <f t="shared" si="0"/>
        <v>70400000</v>
      </c>
      <c r="G9" s="27">
        <f t="shared" si="2"/>
        <v>844800000</v>
      </c>
    </row>
    <row r="10" spans="1:7" ht="12.75">
      <c r="A10" s="200">
        <f>SUM(A7/4)</f>
        <v>35.5</v>
      </c>
      <c r="B10" t="s">
        <v>58</v>
      </c>
      <c r="C10" t="s">
        <v>343</v>
      </c>
      <c r="D10" s="182">
        <v>8000</v>
      </c>
      <c r="E10" s="139">
        <f t="shared" si="1"/>
        <v>9466.666666666666</v>
      </c>
      <c r="F10" s="150">
        <f t="shared" si="0"/>
        <v>284000</v>
      </c>
      <c r="G10" s="27">
        <f t="shared" si="2"/>
        <v>3408000</v>
      </c>
    </row>
    <row r="11" spans="1:7" ht="12.75">
      <c r="A11" s="180">
        <f>'Costs per kilometer'!$A$44</f>
        <v>88</v>
      </c>
      <c r="B11" t="s">
        <v>58</v>
      </c>
      <c r="C11" t="s">
        <v>344</v>
      </c>
      <c r="D11" s="182">
        <v>400000</v>
      </c>
      <c r="E11" s="139">
        <f t="shared" si="1"/>
        <v>1173333.3333333333</v>
      </c>
      <c r="F11" s="150">
        <f t="shared" si="0"/>
        <v>35200000</v>
      </c>
      <c r="G11" s="27">
        <f t="shared" si="2"/>
        <v>422400000</v>
      </c>
    </row>
    <row r="12" spans="1:7" ht="12.75">
      <c r="A12" s="180">
        <f>'Costs per kilometer'!$A$45</f>
        <v>0</v>
      </c>
      <c r="B12" t="s">
        <v>58</v>
      </c>
      <c r="C12" t="s">
        <v>345</v>
      </c>
      <c r="D12" s="182">
        <v>8000</v>
      </c>
      <c r="E12" s="139">
        <f t="shared" si="1"/>
        <v>0</v>
      </c>
      <c r="F12" s="150">
        <f t="shared" si="0"/>
        <v>0</v>
      </c>
      <c r="G12" s="27">
        <f t="shared" si="2"/>
        <v>0</v>
      </c>
    </row>
    <row r="13" spans="1:7" ht="12.75">
      <c r="A13" s="180">
        <f>'Costs per kilometer'!$A$46</f>
        <v>2</v>
      </c>
      <c r="B13" t="s">
        <v>58</v>
      </c>
      <c r="C13" t="s">
        <v>339</v>
      </c>
      <c r="D13" s="182">
        <v>250000</v>
      </c>
      <c r="E13" s="139">
        <f t="shared" si="1"/>
        <v>16666.666666666668</v>
      </c>
      <c r="F13" s="150">
        <f t="shared" si="0"/>
        <v>500000</v>
      </c>
      <c r="G13" s="27">
        <f t="shared" si="2"/>
        <v>6000000</v>
      </c>
    </row>
    <row r="14" spans="1:7" ht="12.75">
      <c r="A14" s="180">
        <f>'Costs per kilometer'!$A$47</f>
        <v>110</v>
      </c>
      <c r="B14" t="s">
        <v>58</v>
      </c>
      <c r="C14" t="s">
        <v>340</v>
      </c>
      <c r="D14" s="182">
        <v>40000</v>
      </c>
      <c r="E14" s="139">
        <f t="shared" si="1"/>
        <v>146666.66666666666</v>
      </c>
      <c r="F14" s="150">
        <f t="shared" si="0"/>
        <v>4400000</v>
      </c>
      <c r="G14" s="27">
        <f t="shared" si="2"/>
        <v>52800000</v>
      </c>
    </row>
    <row r="15" spans="1:7" ht="13.5" thickBot="1">
      <c r="A15" s="201">
        <f>'Costs per kilometer'!$A$49</f>
        <v>110</v>
      </c>
      <c r="B15" s="39" t="s">
        <v>58</v>
      </c>
      <c r="C15" s="39" t="s">
        <v>341</v>
      </c>
      <c r="D15" s="183">
        <v>20000</v>
      </c>
      <c r="E15" s="40">
        <f t="shared" si="1"/>
        <v>73333.33333333333</v>
      </c>
      <c r="F15" s="184">
        <f t="shared" si="0"/>
        <v>2200000</v>
      </c>
      <c r="G15" s="40">
        <f t="shared" si="2"/>
        <v>26400000</v>
      </c>
    </row>
    <row r="16" spans="1:7" ht="13.5" thickTop="1">
      <c r="A16">
        <f>SUM(A7/1.609)</f>
        <v>88.25357364822871</v>
      </c>
      <c r="B16" s="181" t="s">
        <v>252</v>
      </c>
      <c r="D16" s="27">
        <f>SUM(D7:D15)</f>
        <v>3030000</v>
      </c>
      <c r="E16" s="27">
        <f>SUM(E7:E15)</f>
        <v>3985066.6666666665</v>
      </c>
      <c r="F16" s="27">
        <f>SUM(F7:F15)</f>
        <v>119552000</v>
      </c>
      <c r="G16" s="27">
        <f>SUM(G7:G15)</f>
        <v>1434624000</v>
      </c>
    </row>
    <row r="17" spans="5:7" ht="12.75">
      <c r="E17" s="12" t="s">
        <v>352</v>
      </c>
      <c r="F17" s="12" t="s">
        <v>351</v>
      </c>
      <c r="G17" s="12" t="s">
        <v>350</v>
      </c>
    </row>
    <row r="18" spans="4:7" ht="12.75">
      <c r="D18" s="51" t="s">
        <v>353</v>
      </c>
      <c r="E18" s="27">
        <f>SUM(E16/A16)</f>
        <v>45154.73427230047</v>
      </c>
      <c r="F18" s="27">
        <f>SUM(F16/A16)</f>
        <v>1354642.0281690143</v>
      </c>
      <c r="G18" s="27">
        <f>SUM(G16/A16)</f>
        <v>16255704.33802817</v>
      </c>
    </row>
    <row r="22" ht="15.75">
      <c r="A22" s="202" t="s">
        <v>370</v>
      </c>
    </row>
    <row r="23" spans="1:7" ht="12.75">
      <c r="A23" s="30" t="s">
        <v>36</v>
      </c>
      <c r="B23" s="30"/>
      <c r="C23" s="30" t="s">
        <v>337</v>
      </c>
      <c r="D23" s="30" t="s">
        <v>346</v>
      </c>
      <c r="E23" s="30" t="s">
        <v>349</v>
      </c>
      <c r="F23" s="30" t="s">
        <v>347</v>
      </c>
      <c r="G23" s="30" t="s">
        <v>348</v>
      </c>
    </row>
    <row r="24" spans="1:7" ht="12.75">
      <c r="A24" s="180">
        <f>'Costs per kilometer'!$A$41</f>
        <v>4</v>
      </c>
      <c r="B24" t="s">
        <v>58</v>
      </c>
      <c r="C24" t="s">
        <v>59</v>
      </c>
      <c r="D24" s="182">
        <v>60000</v>
      </c>
      <c r="E24" s="139">
        <f>SUM(F24/30)</f>
        <v>8000</v>
      </c>
      <c r="F24" s="150">
        <f>SUM(D24*A24)</f>
        <v>240000</v>
      </c>
      <c r="G24" s="27">
        <f>SUM(F24*12)</f>
        <v>2880000</v>
      </c>
    </row>
    <row r="25" spans="1:7" ht="12.75">
      <c r="A25" s="180">
        <f>A11</f>
        <v>88</v>
      </c>
      <c r="B25" t="str">
        <f>B11</f>
        <v>Each</v>
      </c>
      <c r="C25" t="str">
        <f>C11</f>
        <v>Car Ramps</v>
      </c>
      <c r="D25" s="182">
        <v>12000</v>
      </c>
      <c r="E25" s="139">
        <f>SUM(F25/30)</f>
        <v>35200</v>
      </c>
      <c r="F25" s="150">
        <f>SUM(D25*A25)</f>
        <v>1056000</v>
      </c>
      <c r="G25" s="27">
        <f>SUM(F25*12)</f>
        <v>12672000</v>
      </c>
    </row>
    <row r="26" spans="1:7" ht="13.5" thickBot="1">
      <c r="A26" s="201">
        <f>'Costs per kilometer'!$A$42</f>
        <v>88</v>
      </c>
      <c r="B26" s="39" t="s">
        <v>58</v>
      </c>
      <c r="C26" s="39" t="s">
        <v>342</v>
      </c>
      <c r="D26" s="183">
        <v>20000</v>
      </c>
      <c r="E26" s="203">
        <f>SUM(F26/30)</f>
        <v>58666.666666666664</v>
      </c>
      <c r="F26" s="184">
        <f>SUM(D26*A26)</f>
        <v>1760000</v>
      </c>
      <c r="G26" s="40">
        <f>SUM(F26*12)</f>
        <v>21120000</v>
      </c>
    </row>
    <row r="27" spans="1:7" ht="13.5" thickTop="1">
      <c r="A27" s="180"/>
      <c r="D27" s="27">
        <f>SUM(D24:D26)</f>
        <v>92000</v>
      </c>
      <c r="E27" s="139">
        <f>SUM(E24:E26)</f>
        <v>101866.66666666666</v>
      </c>
      <c r="F27" s="150">
        <f>SUM(F24:F26)</f>
        <v>3056000</v>
      </c>
      <c r="G27" s="27">
        <f>SUM(G24:G26)</f>
        <v>36672000</v>
      </c>
    </row>
    <row r="29" spans="4:7" ht="12.75">
      <c r="D29" s="51" t="s">
        <v>353</v>
      </c>
      <c r="E29" s="27">
        <f>SUM(E27/$A$16)</f>
        <v>1154.2497652582158</v>
      </c>
      <c r="F29" s="27">
        <f>SUM(F27/$A$16)</f>
        <v>34627.49295774648</v>
      </c>
      <c r="G29" s="27">
        <f>SUM(G20:G28)</f>
        <v>73344000</v>
      </c>
    </row>
    <row r="30" ht="15.75">
      <c r="A30" s="202" t="s">
        <v>1022</v>
      </c>
    </row>
    <row r="31" ht="12.75">
      <c r="A31" s="27">
        <f>SUM(G16+G27)</f>
        <v>1471296000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E1">
      <selection activeCell="J7" sqref="J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174</v>
      </c>
    </row>
    <row r="5" ht="12.75">
      <c r="A5" t="s">
        <v>173</v>
      </c>
    </row>
    <row r="6" spans="1:15" ht="12.75">
      <c r="A6" s="11" t="s">
        <v>101</v>
      </c>
      <c r="B6" s="11" t="s">
        <v>37</v>
      </c>
      <c r="C6" s="11" t="s">
        <v>149</v>
      </c>
      <c r="D6" s="11" t="s">
        <v>148</v>
      </c>
      <c r="E6" s="11" t="s">
        <v>147</v>
      </c>
      <c r="F6" s="11" t="s">
        <v>192</v>
      </c>
      <c r="G6" s="11" t="s">
        <v>194</v>
      </c>
      <c r="H6" s="11" t="s">
        <v>599</v>
      </c>
      <c r="I6" s="11" t="s">
        <v>195</v>
      </c>
      <c r="J6" s="11" t="s">
        <v>150</v>
      </c>
      <c r="K6" s="11" t="s">
        <v>911</v>
      </c>
      <c r="L6" s="11" t="s">
        <v>151</v>
      </c>
      <c r="M6" s="11" t="s">
        <v>152</v>
      </c>
      <c r="N6" s="11" t="s">
        <v>153</v>
      </c>
      <c r="O6" s="11" t="s">
        <v>154</v>
      </c>
    </row>
    <row r="7" spans="1:15" ht="12.75">
      <c r="A7" s="111">
        <v>1000</v>
      </c>
      <c r="B7" t="s">
        <v>146</v>
      </c>
      <c r="C7" s="111">
        <v>6</v>
      </c>
      <c r="D7">
        <f>SUM(C7*A7)*4</f>
        <v>24000</v>
      </c>
      <c r="E7">
        <f>SUM(D7*12)</f>
        <v>288000</v>
      </c>
      <c r="F7" s="112">
        <v>66</v>
      </c>
      <c r="G7" s="112">
        <f>SUM(F7*A7*C7)</f>
        <v>396000</v>
      </c>
      <c r="H7" s="112">
        <f>SUM(G7/5280)</f>
        <v>75</v>
      </c>
      <c r="I7" s="112">
        <f>SUM(G7/3270)</f>
        <v>121.10091743119266</v>
      </c>
      <c r="J7">
        <f>SUM(F7*E7)</f>
        <v>19008000</v>
      </c>
      <c r="K7">
        <f>SUM(J7/5280)</f>
        <v>3600</v>
      </c>
      <c r="L7">
        <f>SUM(J7/3270)</f>
        <v>5812.844036697248</v>
      </c>
      <c r="M7">
        <f>SUM('Costs per kilometer'!A38+'Costs per kilometer'!A39+'Costs per kilometer'!A40)</f>
        <v>108</v>
      </c>
      <c r="N7">
        <f>SUM(M7/L7)</f>
        <v>0.018579545454545453</v>
      </c>
      <c r="O7">
        <f>SUM(N7*12)</f>
        <v>0.22295454545454543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50" zoomScaleNormal="50" workbookViewId="0" topLeftCell="A1">
      <selection activeCell="I34" sqref="I34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12" t="s">
        <v>912</v>
      </c>
    </row>
    <row r="4" spans="1:9" ht="12.75">
      <c r="A4" s="30" t="s">
        <v>913</v>
      </c>
      <c r="B4" s="30" t="s">
        <v>76</v>
      </c>
      <c r="C4" s="30" t="s">
        <v>914</v>
      </c>
      <c r="D4" s="30" t="s">
        <v>915</v>
      </c>
      <c r="E4" s="30" t="s">
        <v>916</v>
      </c>
      <c r="F4" s="30" t="s">
        <v>917</v>
      </c>
      <c r="G4" s="30" t="s">
        <v>77</v>
      </c>
      <c r="H4" s="30" t="s">
        <v>918</v>
      </c>
      <c r="I4" s="30" t="s">
        <v>919</v>
      </c>
    </row>
    <row r="5" spans="1:9" ht="12.75">
      <c r="A5" t="s">
        <v>920</v>
      </c>
      <c r="B5" s="297">
        <v>283.87</v>
      </c>
      <c r="C5">
        <f>'[3]Return On Investment'!$C$16</f>
        <v>180</v>
      </c>
      <c r="D5" s="147">
        <f aca="true" t="shared" si="0" ref="D5:D12">SUM(B5/C5)</f>
        <v>1.5770555555555557</v>
      </c>
      <c r="E5" s="298">
        <f aca="true" t="shared" si="1" ref="E5:E12">SUM(60*D5)</f>
        <v>94.62333333333333</v>
      </c>
      <c r="F5" s="299">
        <f aca="true" t="shared" si="2" ref="F5:F11">SUM(B5/70)*60</f>
        <v>243.31714285714287</v>
      </c>
      <c r="G5" s="300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921</v>
      </c>
      <c r="B6" s="301">
        <v>42.6</v>
      </c>
      <c r="C6">
        <f>'[3]Return On Investment'!$C$16</f>
        <v>180</v>
      </c>
      <c r="D6" s="147">
        <f t="shared" si="0"/>
        <v>0.23666666666666666</v>
      </c>
      <c r="E6" s="298">
        <f t="shared" si="1"/>
        <v>14.2</v>
      </c>
      <c r="F6" s="299">
        <f t="shared" si="2"/>
        <v>36.51428571428571</v>
      </c>
      <c r="G6" s="300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922</v>
      </c>
      <c r="B7" s="300">
        <v>106.7</v>
      </c>
      <c r="C7">
        <f>'[3]Return On Investment'!$C$16</f>
        <v>180</v>
      </c>
      <c r="D7" s="147">
        <f t="shared" si="0"/>
        <v>0.5927777777777778</v>
      </c>
      <c r="E7" s="298">
        <f t="shared" si="1"/>
        <v>35.56666666666667</v>
      </c>
      <c r="F7" s="299">
        <f t="shared" si="2"/>
        <v>91.45714285714286</v>
      </c>
      <c r="G7" s="300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923</v>
      </c>
      <c r="B8" s="300">
        <v>91</v>
      </c>
      <c r="C8">
        <f>'[3]Return On Investment'!$C$16</f>
        <v>180</v>
      </c>
      <c r="D8" s="147">
        <f t="shared" si="0"/>
        <v>0.5055555555555555</v>
      </c>
      <c r="E8" s="298">
        <f t="shared" si="1"/>
        <v>30.333333333333332</v>
      </c>
      <c r="F8" s="299">
        <f t="shared" si="2"/>
        <v>78</v>
      </c>
      <c r="G8" s="300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924</v>
      </c>
      <c r="B9" s="300">
        <v>184</v>
      </c>
      <c r="C9">
        <f>'[3]Return On Investment'!$C$16</f>
        <v>180</v>
      </c>
      <c r="D9" s="147">
        <f t="shared" si="0"/>
        <v>1.0222222222222221</v>
      </c>
      <c r="E9" s="298">
        <f t="shared" si="1"/>
        <v>61.33333333333333</v>
      </c>
      <c r="F9" s="299">
        <f t="shared" si="2"/>
        <v>157.71428571428572</v>
      </c>
      <c r="G9" s="300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925</v>
      </c>
      <c r="B10" s="300">
        <v>19.9</v>
      </c>
      <c r="C10">
        <f>'[3]Return On Investment'!$C$16</f>
        <v>180</v>
      </c>
      <c r="D10" s="147">
        <f t="shared" si="0"/>
        <v>0.11055555555555555</v>
      </c>
      <c r="E10" s="298">
        <f t="shared" si="1"/>
        <v>6.633333333333333</v>
      </c>
      <c r="F10" s="299">
        <f t="shared" si="2"/>
        <v>17.057142857142857</v>
      </c>
      <c r="G10" s="300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926</v>
      </c>
      <c r="B11" s="300">
        <v>22</v>
      </c>
      <c r="C11">
        <f>'[3]Return On Investment'!$C$16</f>
        <v>180</v>
      </c>
      <c r="D11" s="147">
        <f t="shared" si="0"/>
        <v>0.12222222222222222</v>
      </c>
      <c r="E11" s="298">
        <f t="shared" si="1"/>
        <v>7.333333333333333</v>
      </c>
      <c r="F11" s="299">
        <f t="shared" si="2"/>
        <v>18.857142857142858</v>
      </c>
      <c r="G11" s="300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927</v>
      </c>
      <c r="B12" s="28">
        <f>SUM(B6+B10)</f>
        <v>62.5</v>
      </c>
      <c r="C12">
        <f>'[3]Return On Investment'!$C$16</f>
        <v>180</v>
      </c>
      <c r="D12" s="147">
        <f t="shared" si="0"/>
        <v>0.3472222222222222</v>
      </c>
      <c r="E12" s="298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928</v>
      </c>
      <c r="B18" s="30" t="s">
        <v>76</v>
      </c>
      <c r="C18" s="30" t="s">
        <v>929</v>
      </c>
      <c r="D18" s="30" t="s">
        <v>930</v>
      </c>
    </row>
    <row r="19" spans="1:4" ht="12.75">
      <c r="A19" t="s">
        <v>931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756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932</v>
      </c>
      <c r="B22" s="174"/>
      <c r="C22" s="302"/>
      <c r="D22" s="303"/>
    </row>
    <row r="23" spans="2:5" ht="12.75">
      <c r="B23" s="174"/>
      <c r="C23" s="302"/>
      <c r="D23" s="303"/>
      <c r="E23" s="303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304" t="s">
        <v>933</v>
      </c>
      <c r="B1" s="304"/>
      <c r="C1" s="304"/>
      <c r="D1" s="304"/>
      <c r="E1" s="304"/>
      <c r="F1" s="304"/>
      <c r="G1" s="35"/>
    </row>
    <row r="2" spans="1:2" ht="12.75">
      <c r="A2" t="s">
        <v>934</v>
      </c>
      <c r="B2" t="s">
        <v>935</v>
      </c>
    </row>
    <row r="3" spans="1:2" ht="12.75">
      <c r="A3" t="s">
        <v>936</v>
      </c>
      <c r="B3" t="s">
        <v>271</v>
      </c>
    </row>
    <row r="4" spans="1:2" ht="12.75">
      <c r="A4" t="s">
        <v>937</v>
      </c>
      <c r="B4" t="s">
        <v>735</v>
      </c>
    </row>
    <row r="5" spans="1:2" ht="12.75">
      <c r="A5" t="s">
        <v>938</v>
      </c>
      <c r="B5" t="s">
        <v>939</v>
      </c>
    </row>
    <row r="6" spans="1:2" ht="12.75">
      <c r="A6" t="s">
        <v>940</v>
      </c>
      <c r="B6" t="s">
        <v>941</v>
      </c>
    </row>
    <row r="7" spans="1:2" ht="12.75">
      <c r="A7" t="s">
        <v>942</v>
      </c>
      <c r="B7" t="s">
        <v>943</v>
      </c>
    </row>
    <row r="8" ht="13.5" thickBot="1"/>
    <row r="9" spans="1:7" ht="15.75" thickBot="1">
      <c r="A9" t="s">
        <v>944</v>
      </c>
      <c r="F9" s="51" t="s">
        <v>945</v>
      </c>
      <c r="G9" s="305" t="s">
        <v>946</v>
      </c>
    </row>
    <row r="10" spans="1:7" ht="23.25">
      <c r="A10" s="306" t="s">
        <v>947</v>
      </c>
      <c r="B10" s="307" t="s">
        <v>948</v>
      </c>
      <c r="C10" s="307"/>
      <c r="D10" s="307"/>
      <c r="E10" s="307"/>
      <c r="F10" s="307"/>
      <c r="G10" s="308"/>
    </row>
    <row r="11" spans="1:7" ht="12.75">
      <c r="A11" t="s">
        <v>935</v>
      </c>
      <c r="B11" s="309">
        <v>1</v>
      </c>
      <c r="C11" s="310"/>
      <c r="D11" s="310"/>
      <c r="E11" s="310"/>
      <c r="F11" s="310"/>
      <c r="G11" s="310"/>
    </row>
    <row r="12" spans="1:7" ht="12.75">
      <c r="A12" t="s">
        <v>558</v>
      </c>
      <c r="B12" s="309"/>
      <c r="C12" s="310">
        <v>14</v>
      </c>
      <c r="D12" s="310"/>
      <c r="E12" s="310"/>
      <c r="F12" s="310"/>
      <c r="G12" s="310"/>
    </row>
    <row r="13" spans="1:7" ht="12.75">
      <c r="A13" t="s">
        <v>949</v>
      </c>
      <c r="B13" s="309"/>
      <c r="C13" s="310"/>
      <c r="D13" s="310">
        <v>1</v>
      </c>
      <c r="E13" s="310"/>
      <c r="F13" s="310"/>
      <c r="G13" s="310"/>
    </row>
    <row r="14" spans="1:7" ht="12.75">
      <c r="A14" t="s">
        <v>950</v>
      </c>
      <c r="B14" s="309"/>
      <c r="C14" s="310"/>
      <c r="D14" s="310"/>
      <c r="E14" s="310">
        <v>8</v>
      </c>
      <c r="F14" s="310"/>
      <c r="G14" s="310"/>
    </row>
    <row r="15" spans="1:7" ht="12.75">
      <c r="A15" t="s">
        <v>951</v>
      </c>
      <c r="B15" s="309"/>
      <c r="C15" s="310"/>
      <c r="D15" s="310"/>
      <c r="E15" s="310"/>
      <c r="F15" s="310">
        <v>2</v>
      </c>
      <c r="G15" s="310"/>
    </row>
    <row r="16" spans="1:7" ht="13.5" thickBot="1">
      <c r="A16" s="35" t="s">
        <v>952</v>
      </c>
      <c r="B16" s="311"/>
      <c r="C16" s="312"/>
      <c r="D16" s="312"/>
      <c r="E16" s="312"/>
      <c r="F16" s="312"/>
      <c r="G16" s="312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313" t="s">
        <v>953</v>
      </c>
      <c r="B18" s="313"/>
      <c r="C18" s="314" t="str">
        <f ca="1">CELL("contents",B17)&amp;$G$9&amp;(C17)&amp;$G$9&amp;(D17)&amp;$G$9&amp;(E17)&amp;$G$9&amp;F17&amp;$G$9&amp;G17</f>
        <v>1.14.1.8.2.6</v>
      </c>
      <c r="D18" s="314"/>
      <c r="E18" s="314"/>
      <c r="F18" s="314"/>
      <c r="G18" s="314"/>
    </row>
    <row r="19" ht="12.75">
      <c r="A19" s="4"/>
    </row>
    <row r="20" spans="1:7" ht="23.25">
      <c r="A20" s="306" t="s">
        <v>947</v>
      </c>
      <c r="B20" s="307" t="s">
        <v>948</v>
      </c>
      <c r="C20" s="307"/>
      <c r="D20" s="307"/>
      <c r="E20" s="307"/>
      <c r="F20" s="307"/>
      <c r="G20" s="315"/>
    </row>
    <row r="21" spans="1:7" ht="12.75">
      <c r="A21" t="s">
        <v>935</v>
      </c>
      <c r="B21" s="309">
        <v>1</v>
      </c>
      <c r="C21" s="310"/>
      <c r="D21" s="310"/>
      <c r="E21" s="310"/>
      <c r="F21" s="310"/>
      <c r="G21" s="310"/>
    </row>
    <row r="22" spans="1:7" ht="12.75">
      <c r="A22" t="s">
        <v>549</v>
      </c>
      <c r="B22" s="309"/>
      <c r="C22" s="310">
        <v>17</v>
      </c>
      <c r="D22" s="310"/>
      <c r="E22" s="310"/>
      <c r="F22" s="310"/>
      <c r="G22" s="310"/>
    </row>
    <row r="23" spans="1:7" ht="12.75">
      <c r="A23" t="s">
        <v>954</v>
      </c>
      <c r="B23" s="309"/>
      <c r="C23" s="310"/>
      <c r="D23" s="310">
        <v>14</v>
      </c>
      <c r="E23" s="310"/>
      <c r="F23" s="310"/>
      <c r="G23" s="310"/>
    </row>
    <row r="24" spans="1:7" ht="12.75">
      <c r="A24" t="s">
        <v>955</v>
      </c>
      <c r="B24" s="309"/>
      <c r="C24" s="310"/>
      <c r="D24" s="310"/>
      <c r="E24" s="310">
        <v>1</v>
      </c>
      <c r="F24" s="310"/>
      <c r="G24" s="310"/>
    </row>
    <row r="25" spans="1:7" ht="12.75">
      <c r="A25" t="s">
        <v>951</v>
      </c>
      <c r="B25" s="309"/>
      <c r="C25" s="310"/>
      <c r="D25" s="310"/>
      <c r="E25" s="310"/>
      <c r="F25" s="310">
        <v>16</v>
      </c>
      <c r="G25" s="310"/>
    </row>
    <row r="26" spans="1:7" ht="13.5" thickBot="1">
      <c r="A26" s="35" t="s">
        <v>952</v>
      </c>
      <c r="B26" s="311"/>
      <c r="C26" s="312"/>
      <c r="D26" s="312"/>
      <c r="E26" s="312"/>
      <c r="F26" s="312"/>
      <c r="G26" s="312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313" t="s">
        <v>956</v>
      </c>
      <c r="B28" s="313"/>
      <c r="C28" s="314" t="str">
        <f ca="1">CELL("contents",B27)&amp;$G$9&amp;(C27)&amp;$G$9&amp;D27&amp;$G$9&amp;E27&amp;$G$9&amp;F27&amp;$G$9&amp;G27</f>
        <v>1.17.14.1.16.5</v>
      </c>
      <c r="D28" s="314"/>
      <c r="E28" s="314"/>
      <c r="F28" s="314"/>
      <c r="G28" s="31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88" zoomScaleNormal="88" workbookViewId="0" topLeftCell="A36">
      <selection activeCell="A68" sqref="A68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7.28125" style="0" customWidth="1"/>
    <col min="6" max="6" width="32.00390625" style="0" customWidth="1"/>
    <col min="7" max="9" width="33.7109375" style="0" customWidth="1"/>
  </cols>
  <sheetData>
    <row r="1" spans="1:6" ht="34.5" thickBot="1">
      <c r="A1" s="100" t="s">
        <v>231</v>
      </c>
      <c r="B1" s="101"/>
      <c r="C1" s="101"/>
      <c r="D1" s="102"/>
      <c r="E1" s="345" t="s">
        <v>358</v>
      </c>
      <c r="F1" s="102"/>
    </row>
    <row r="2" ht="12.75">
      <c r="E2" t="s">
        <v>33</v>
      </c>
    </row>
    <row r="3" spans="1:5" ht="33.75">
      <c r="A3" s="38" t="s">
        <v>46</v>
      </c>
      <c r="B3" s="38"/>
      <c r="C3" s="38"/>
      <c r="D3" s="38"/>
      <c r="E3" s="38"/>
    </row>
    <row r="4" spans="1:6" ht="12.75">
      <c r="A4" s="30" t="s">
        <v>35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40</v>
      </c>
    </row>
    <row r="5" spans="1:6" ht="12.75">
      <c r="A5">
        <v>1</v>
      </c>
      <c r="B5" t="s">
        <v>47</v>
      </c>
      <c r="C5" t="s">
        <v>48</v>
      </c>
      <c r="D5" s="27">
        <v>120000</v>
      </c>
      <c r="E5" s="27">
        <f aca="true" t="shared" si="0" ref="E5:E14">SUM(D5*A5)</f>
        <v>120000</v>
      </c>
      <c r="F5" s="23"/>
    </row>
    <row r="6" spans="1:6" ht="12.75">
      <c r="A6">
        <v>2</v>
      </c>
      <c r="B6" t="s">
        <v>47</v>
      </c>
      <c r="C6" s="15" t="s">
        <v>49</v>
      </c>
      <c r="D6" s="27">
        <f>SolarCells!$N$5</f>
        <v>871948</v>
      </c>
      <c r="E6" s="27">
        <f t="shared" si="0"/>
        <v>1743896</v>
      </c>
      <c r="F6" s="23" t="s">
        <v>521</v>
      </c>
    </row>
    <row r="7" spans="1:6" ht="12.75">
      <c r="A7">
        <v>2</v>
      </c>
      <c r="B7" t="s">
        <v>47</v>
      </c>
      <c r="C7" s="15" t="s">
        <v>143</v>
      </c>
      <c r="D7" s="27">
        <f>'Steel and Concrete'!$D$29</f>
        <v>17482.666666666668</v>
      </c>
      <c r="E7" s="27">
        <f t="shared" si="0"/>
        <v>34965.333333333336</v>
      </c>
      <c r="F7" s="23"/>
    </row>
    <row r="8" spans="1:6" ht="12.75">
      <c r="A8">
        <v>1</v>
      </c>
      <c r="B8" t="s">
        <v>47</v>
      </c>
      <c r="C8" s="15" t="s">
        <v>134</v>
      </c>
      <c r="D8" s="27">
        <f>'Steel and Concrete'!$E$15</f>
        <v>1336112.8</v>
      </c>
      <c r="E8" s="27">
        <f t="shared" si="0"/>
        <v>1336112.8</v>
      </c>
      <c r="F8" s="368" t="str">
        <f>SUM((E8/E15)*100)&amp;" %"&amp;" of total cost / kilometer"</f>
        <v>25.876617791188 % of total cost / kilometer</v>
      </c>
    </row>
    <row r="9" spans="1:6" ht="12.75">
      <c r="A9">
        <v>8</v>
      </c>
      <c r="B9" t="s">
        <v>47</v>
      </c>
      <c r="C9" t="s">
        <v>135</v>
      </c>
      <c r="D9" s="27">
        <v>3278</v>
      </c>
      <c r="E9" s="27">
        <f t="shared" si="0"/>
        <v>26224</v>
      </c>
      <c r="F9" s="23" t="s">
        <v>136</v>
      </c>
    </row>
    <row r="10" spans="1:6" ht="12.75">
      <c r="A10">
        <v>1</v>
      </c>
      <c r="B10" t="s">
        <v>47</v>
      </c>
      <c r="C10" t="s">
        <v>50</v>
      </c>
      <c r="D10" s="27">
        <v>16000</v>
      </c>
      <c r="E10" s="27">
        <f t="shared" si="0"/>
        <v>16000</v>
      </c>
      <c r="F10" s="23" t="s">
        <v>1036</v>
      </c>
    </row>
    <row r="11" spans="1:6" ht="12.75">
      <c r="A11">
        <v>0.25</v>
      </c>
      <c r="B11" t="s">
        <v>51</v>
      </c>
      <c r="C11" t="s">
        <v>523</v>
      </c>
      <c r="D11" s="27">
        <v>1500000</v>
      </c>
      <c r="E11" s="27">
        <f t="shared" si="0"/>
        <v>375000</v>
      </c>
      <c r="F11" s="23" t="s">
        <v>1037</v>
      </c>
    </row>
    <row r="12" spans="1:6" ht="12.75">
      <c r="A12">
        <v>1</v>
      </c>
      <c r="B12" t="s">
        <v>52</v>
      </c>
      <c r="C12" t="s">
        <v>53</v>
      </c>
      <c r="D12" s="27">
        <v>100000</v>
      </c>
      <c r="E12" s="27">
        <f t="shared" si="0"/>
        <v>100000</v>
      </c>
      <c r="F12" s="23" t="s">
        <v>54</v>
      </c>
    </row>
    <row r="13" spans="1:6" ht="12.75">
      <c r="A13">
        <v>1</v>
      </c>
      <c r="B13" t="s">
        <v>47</v>
      </c>
      <c r="C13" t="s">
        <v>229</v>
      </c>
      <c r="D13" s="27">
        <v>100000</v>
      </c>
      <c r="E13" s="27">
        <f t="shared" si="0"/>
        <v>100000</v>
      </c>
      <c r="F13" s="23"/>
    </row>
    <row r="14" spans="1:6" ht="13.5" thickBot="1">
      <c r="A14" s="39">
        <v>2</v>
      </c>
      <c r="B14" s="39" t="s">
        <v>533</v>
      </c>
      <c r="C14" s="39" t="s">
        <v>55</v>
      </c>
      <c r="D14" s="40">
        <f>SUM(200*3278)</f>
        <v>655600</v>
      </c>
      <c r="E14" s="40">
        <f t="shared" si="0"/>
        <v>1311200</v>
      </c>
      <c r="F14" s="369" t="s">
        <v>534</v>
      </c>
    </row>
    <row r="15" spans="4:5" ht="13.5" thickTop="1">
      <c r="D15" s="42" t="s">
        <v>56</v>
      </c>
      <c r="E15" s="27">
        <f>SUM(E5:E14)</f>
        <v>5163398.133333333</v>
      </c>
    </row>
    <row r="16" spans="4:5" ht="12.75">
      <c r="D16" s="51" t="s">
        <v>119</v>
      </c>
      <c r="E16" s="136">
        <v>66</v>
      </c>
    </row>
    <row r="17" spans="4:5" ht="12.75">
      <c r="D17" s="51" t="s">
        <v>121</v>
      </c>
      <c r="E17" s="27">
        <f>SUM(E15/3278)</f>
        <v>1575.1672157819808</v>
      </c>
    </row>
    <row r="18" spans="4:6" ht="13.5" customHeight="1">
      <c r="D18" s="51" t="s">
        <v>120</v>
      </c>
      <c r="E18" s="27">
        <f>SUM(E15/3278)*E16</f>
        <v>103961.03624161072</v>
      </c>
      <c r="F18" t="s">
        <v>1</v>
      </c>
    </row>
    <row r="19" spans="1:3" ht="33.75">
      <c r="A19" s="38" t="s">
        <v>57</v>
      </c>
      <c r="B19" s="38"/>
      <c r="C19" s="38"/>
    </row>
    <row r="20" spans="1:6" ht="12.75">
      <c r="A20" s="30" t="s">
        <v>35</v>
      </c>
      <c r="B20" s="30" t="s">
        <v>36</v>
      </c>
      <c r="C20" s="30" t="s">
        <v>37</v>
      </c>
      <c r="D20" s="30" t="s">
        <v>38</v>
      </c>
      <c r="E20" s="30" t="s">
        <v>39</v>
      </c>
      <c r="F20" s="30" t="s">
        <v>40</v>
      </c>
    </row>
    <row r="21" spans="1:5" ht="12.75">
      <c r="A21">
        <v>0</v>
      </c>
      <c r="B21" t="s">
        <v>58</v>
      </c>
      <c r="C21" t="s">
        <v>59</v>
      </c>
      <c r="D21" s="137">
        <v>8000000</v>
      </c>
      <c r="E21" s="27">
        <f>SUM(D21*A21)</f>
        <v>0</v>
      </c>
    </row>
    <row r="22" spans="1:5" ht="12.75">
      <c r="A22">
        <v>0</v>
      </c>
      <c r="B22" t="s">
        <v>58</v>
      </c>
      <c r="C22" t="s">
        <v>367</v>
      </c>
      <c r="D22" s="137">
        <v>3000000</v>
      </c>
      <c r="E22" s="27">
        <f>SUM(D22*A22)</f>
        <v>0</v>
      </c>
    </row>
    <row r="23" spans="1:5" ht="12.75">
      <c r="A23">
        <v>0</v>
      </c>
      <c r="B23" t="s">
        <v>58</v>
      </c>
      <c r="C23" t="s">
        <v>531</v>
      </c>
      <c r="D23" s="137">
        <v>2000000</v>
      </c>
      <c r="E23" s="27">
        <f>SUM(D23*A23)</f>
        <v>0</v>
      </c>
    </row>
    <row r="24" spans="1:5" ht="12.75">
      <c r="A24">
        <v>0</v>
      </c>
      <c r="B24" t="s">
        <v>47</v>
      </c>
      <c r="C24" t="s">
        <v>60</v>
      </c>
      <c r="D24" s="141">
        <f>$E$15</f>
        <v>5163398.133333333</v>
      </c>
      <c r="E24" s="27">
        <f>SUM(D24*A24)</f>
        <v>0</v>
      </c>
    </row>
    <row r="25" spans="1:6" ht="13.5" thickBot="1">
      <c r="A25" s="39">
        <v>0</v>
      </c>
      <c r="B25" s="39" t="s">
        <v>58</v>
      </c>
      <c r="C25" s="39" t="s">
        <v>525</v>
      </c>
      <c r="D25" s="138">
        <v>1000000</v>
      </c>
      <c r="E25" s="40">
        <f>SUM(D25*A25)</f>
        <v>0</v>
      </c>
      <c r="F25" s="39"/>
    </row>
    <row r="26" ht="13.5" thickTop="1">
      <c r="E26" s="27">
        <f>SUM(E21:E25)</f>
        <v>0</v>
      </c>
    </row>
    <row r="27" ht="12.75">
      <c r="E27" s="27"/>
    </row>
    <row r="28" spans="1:5" ht="33">
      <c r="A28" s="1" t="s">
        <v>61</v>
      </c>
      <c r="B28" s="1"/>
      <c r="C28" s="1"/>
      <c r="D28" s="1"/>
      <c r="E28" s="27"/>
    </row>
    <row r="29" spans="1:6" ht="12.75">
      <c r="A29" s="30" t="s">
        <v>35</v>
      </c>
      <c r="B29" s="30" t="s">
        <v>36</v>
      </c>
      <c r="C29" s="30" t="s">
        <v>37</v>
      </c>
      <c r="D29" s="30" t="s">
        <v>38</v>
      </c>
      <c r="E29" s="30" t="s">
        <v>39</v>
      </c>
      <c r="F29" s="30" t="s">
        <v>40</v>
      </c>
    </row>
    <row r="30" spans="1:5" ht="12.75">
      <c r="A30">
        <v>0</v>
      </c>
      <c r="B30" t="s">
        <v>58</v>
      </c>
      <c r="C30" t="s">
        <v>62</v>
      </c>
      <c r="D30" s="140">
        <v>1000000</v>
      </c>
      <c r="E30" s="27">
        <f>SUM(D30*A30)</f>
        <v>0</v>
      </c>
    </row>
    <row r="31" spans="1:5" ht="12.75">
      <c r="A31">
        <v>0</v>
      </c>
      <c r="B31" t="s">
        <v>58</v>
      </c>
      <c r="C31" t="s">
        <v>63</v>
      </c>
      <c r="D31" s="140">
        <v>500000</v>
      </c>
      <c r="E31" s="27">
        <f>SUM(D31*A31)</f>
        <v>0</v>
      </c>
    </row>
    <row r="32" spans="1:5" ht="12.75">
      <c r="A32">
        <v>0</v>
      </c>
      <c r="B32" t="s">
        <v>58</v>
      </c>
      <c r="C32" t="s">
        <v>64</v>
      </c>
      <c r="D32" s="140">
        <v>300000</v>
      </c>
      <c r="E32" s="27">
        <f>SUM(D32*A32)</f>
        <v>0</v>
      </c>
    </row>
    <row r="33" ht="12.75">
      <c r="E33" s="27"/>
    </row>
    <row r="34" ht="12.75">
      <c r="E34" s="27"/>
    </row>
    <row r="35" ht="12.75">
      <c r="E35" s="27"/>
    </row>
    <row r="36" spans="1:6" ht="33.75">
      <c r="A36" s="98" t="s">
        <v>230</v>
      </c>
      <c r="B36" s="38"/>
      <c r="C36" s="38"/>
      <c r="D36" s="38"/>
      <c r="E36" s="38"/>
      <c r="F36" s="38"/>
    </row>
    <row r="37" spans="1:6" ht="12.75">
      <c r="A37" s="30" t="s">
        <v>35</v>
      </c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40</v>
      </c>
    </row>
    <row r="38" spans="1:5" ht="12.75">
      <c r="A38" s="244">
        <v>108</v>
      </c>
      <c r="B38" t="s">
        <v>47</v>
      </c>
      <c r="C38" s="111" t="s">
        <v>1032</v>
      </c>
      <c r="D38" s="139">
        <f>$E$15</f>
        <v>5163398.133333333</v>
      </c>
      <c r="E38" s="27">
        <f aca="true" t="shared" si="1" ref="E38:E49">SUM(D38*A38)</f>
        <v>557646998.4</v>
      </c>
    </row>
    <row r="39" spans="1:5" ht="12.75">
      <c r="A39" s="244">
        <v>0</v>
      </c>
      <c r="B39" t="s">
        <v>47</v>
      </c>
      <c r="C39" s="111"/>
      <c r="D39" s="139">
        <f>$E$15</f>
        <v>5163398.133333333</v>
      </c>
      <c r="E39" s="27"/>
    </row>
    <row r="40" spans="1:5" ht="12.75">
      <c r="A40" s="244">
        <v>0</v>
      </c>
      <c r="B40" t="s">
        <v>47</v>
      </c>
      <c r="C40" s="111"/>
      <c r="D40" s="139">
        <f>$E$15</f>
        <v>5163398.133333333</v>
      </c>
      <c r="E40" s="27"/>
    </row>
    <row r="41" spans="1:5" ht="12.75">
      <c r="A41" s="244">
        <v>4</v>
      </c>
      <c r="B41" t="s">
        <v>58</v>
      </c>
      <c r="C41" t="s">
        <v>59</v>
      </c>
      <c r="D41" s="27">
        <f>$D$21</f>
        <v>8000000</v>
      </c>
      <c r="E41" s="27">
        <f t="shared" si="1"/>
        <v>32000000</v>
      </c>
    </row>
    <row r="42" spans="1:5" ht="12.75">
      <c r="A42" s="244">
        <v>88</v>
      </c>
      <c r="B42" t="str">
        <f>B22</f>
        <v>Each</v>
      </c>
      <c r="C42" t="str">
        <f>C22</f>
        <v>Cloverleaf Stations "Traveler Station"</v>
      </c>
      <c r="D42" s="27">
        <f>D22</f>
        <v>3000000</v>
      </c>
      <c r="E42" s="27">
        <f t="shared" si="1"/>
        <v>264000000</v>
      </c>
    </row>
    <row r="43" spans="1:5" ht="12.75">
      <c r="A43" s="244">
        <v>34</v>
      </c>
      <c r="B43" t="str">
        <f>B24</f>
        <v>Kilometer</v>
      </c>
      <c r="C43" t="str">
        <f>C24</f>
        <v>Sidetrack to Local Public Station (1Kilometer)</v>
      </c>
      <c r="D43" s="27">
        <f>D24</f>
        <v>5163398.133333333</v>
      </c>
      <c r="E43" s="27">
        <f>SUM(D43*A43)</f>
        <v>175555536.5333333</v>
      </c>
    </row>
    <row r="44" spans="1:5" ht="12.75">
      <c r="A44" s="244">
        <v>88</v>
      </c>
      <c r="B44" t="s">
        <v>58</v>
      </c>
      <c r="C44" t="str">
        <f>C23</f>
        <v>Car Ramp for Car Ferry w/ Parking Structure</v>
      </c>
      <c r="D44" s="27">
        <f>D23</f>
        <v>2000000</v>
      </c>
      <c r="E44" s="27">
        <f t="shared" si="1"/>
        <v>176000000</v>
      </c>
    </row>
    <row r="45" spans="1:5" ht="12.75">
      <c r="A45" s="244">
        <v>0</v>
      </c>
      <c r="B45" t="s">
        <v>58</v>
      </c>
      <c r="C45" t="str">
        <f>C25</f>
        <v>Remote Public Station, and parking (Private Land)</v>
      </c>
      <c r="D45" s="27">
        <f>SUM(D25)</f>
        <v>1000000</v>
      </c>
      <c r="E45" s="27">
        <f t="shared" si="1"/>
        <v>0</v>
      </c>
    </row>
    <row r="46" spans="1:5" ht="12.75">
      <c r="A46" s="244">
        <v>2</v>
      </c>
      <c r="B46" t="s">
        <v>58</v>
      </c>
      <c r="C46" t="s">
        <v>1034</v>
      </c>
      <c r="D46" s="27">
        <f>$D$30</f>
        <v>1000000</v>
      </c>
      <c r="E46" s="27">
        <f t="shared" si="1"/>
        <v>2000000</v>
      </c>
    </row>
    <row r="47" spans="1:5" ht="12.75">
      <c r="A47" s="244">
        <v>110</v>
      </c>
      <c r="B47" t="s">
        <v>58</v>
      </c>
      <c r="C47" t="s">
        <v>532</v>
      </c>
      <c r="D47" s="27">
        <f>$D$31</f>
        <v>500000</v>
      </c>
      <c r="E47" s="27">
        <f t="shared" si="1"/>
        <v>55000000</v>
      </c>
    </row>
    <row r="48" spans="1:5" ht="12.75">
      <c r="A48" s="244">
        <v>44</v>
      </c>
      <c r="B48" t="s">
        <v>58</v>
      </c>
      <c r="C48" t="s">
        <v>530</v>
      </c>
      <c r="D48" s="27">
        <v>300000</v>
      </c>
      <c r="E48" s="27">
        <f t="shared" si="1"/>
        <v>13200000</v>
      </c>
    </row>
    <row r="49" spans="1:5" ht="13.5" thickBot="1">
      <c r="A49" s="245">
        <v>110</v>
      </c>
      <c r="B49" s="39" t="s">
        <v>58</v>
      </c>
      <c r="C49" s="39" t="s">
        <v>64</v>
      </c>
      <c r="D49" s="40">
        <f>$D$32</f>
        <v>300000</v>
      </c>
      <c r="E49" s="40">
        <f t="shared" si="1"/>
        <v>33000000</v>
      </c>
    </row>
    <row r="50" spans="1:5" ht="13.5" thickTop="1">
      <c r="A50">
        <f>SUM(A46+A47)</f>
        <v>112</v>
      </c>
      <c r="B50" t="s">
        <v>65</v>
      </c>
      <c r="C50" s="370" t="s">
        <v>66</v>
      </c>
      <c r="D50" s="370"/>
      <c r="E50" s="44">
        <f>SUM(E38:E49)</f>
        <v>1308402534.9333334</v>
      </c>
    </row>
    <row r="51" spans="1:6" ht="12.75">
      <c r="A51">
        <f>$A$49</f>
        <v>110</v>
      </c>
      <c r="B51" t="s">
        <v>67</v>
      </c>
      <c r="C51" s="149"/>
      <c r="D51" s="255" t="str">
        <f>CONCATENATE("Cost of Steel at ",'Steel and Concrete'!C34," dollars per ton"," at ",'Steel and Concrete'!D34," tons per section")</f>
        <v>Cost of Steel at 1200 dollars per ton at 30 tons per section</v>
      </c>
      <c r="E51" s="256">
        <f>'Steel and Concrete'!$K$34</f>
        <v>279360576</v>
      </c>
      <c r="F51" s="254">
        <f>SUM(E51/E52)</f>
        <v>0.2714763703994877</v>
      </c>
    </row>
    <row r="52" spans="1:6" ht="12.75">
      <c r="A52" s="247">
        <f>SUM(A41+A42+A44)</f>
        <v>180</v>
      </c>
      <c r="B52" t="s">
        <v>251</v>
      </c>
      <c r="C52" s="149"/>
      <c r="D52" s="149" t="s">
        <v>598</v>
      </c>
      <c r="E52" s="44">
        <f>SUM(E50-E51)</f>
        <v>1029041958.9333334</v>
      </c>
      <c r="F52" s="254">
        <f>SUM(E52/E50)</f>
        <v>0.7864872861819744</v>
      </c>
    </row>
    <row r="53" spans="1:5" ht="12.75">
      <c r="A53" s="196">
        <f>SUM(A38+A39+A40+A43)</f>
        <v>142</v>
      </c>
      <c r="B53" t="s">
        <v>253</v>
      </c>
      <c r="C53" s="149"/>
      <c r="D53" s="149"/>
      <c r="E53" s="44"/>
    </row>
    <row r="54" spans="1:2" ht="12.75">
      <c r="A54" s="196">
        <f>SUM(A53*0.621)</f>
        <v>88.182</v>
      </c>
      <c r="B54" s="18" t="s">
        <v>252</v>
      </c>
    </row>
    <row r="55" spans="1:2" ht="12.75">
      <c r="A55" s="249">
        <f>SUM(A52/2)/A54</f>
        <v>1.0206164523372117</v>
      </c>
      <c r="B55" s="18" t="s">
        <v>529</v>
      </c>
    </row>
    <row r="56" spans="1:5" ht="12.75">
      <c r="A56" s="248">
        <f>SUM(A50+A51+A48)/A54</f>
        <v>3.0164886257966477</v>
      </c>
      <c r="B56" s="45" t="s">
        <v>258</v>
      </c>
      <c r="C56" s="45"/>
      <c r="D56" s="45"/>
      <c r="E56" s="46"/>
    </row>
    <row r="57" spans="1:2" ht="12.75">
      <c r="A57" s="247">
        <f>SUM(A47:A49)</f>
        <v>264</v>
      </c>
      <c r="B57" s="181" t="s">
        <v>995</v>
      </c>
    </row>
    <row r="58" spans="4:5" ht="23.25">
      <c r="D58" s="47" t="s">
        <v>596</v>
      </c>
      <c r="E58" s="344">
        <f>SUM(E50/(A38+A39+A40+A43))</f>
        <v>9214102.358685447</v>
      </c>
    </row>
    <row r="59" spans="4:5" ht="23.25">
      <c r="D59" s="47" t="s">
        <v>597</v>
      </c>
      <c r="E59" s="344">
        <f>SUM(E50/A54)</f>
        <v>14837523.927029705</v>
      </c>
    </row>
    <row r="60" spans="2:4" ht="19.5" customHeight="1">
      <c r="B60" s="51"/>
      <c r="C60" s="43" t="s">
        <v>368</v>
      </c>
      <c r="D60" s="51"/>
    </row>
    <row r="61" spans="2:5" ht="12.75">
      <c r="B61" s="66" t="s">
        <v>37</v>
      </c>
      <c r="C61" s="30" t="s">
        <v>101</v>
      </c>
      <c r="D61" s="30" t="s">
        <v>39</v>
      </c>
      <c r="E61" s="30" t="s">
        <v>36</v>
      </c>
    </row>
    <row r="62" spans="2:5" ht="12.75">
      <c r="B62" s="51" t="s">
        <v>102</v>
      </c>
      <c r="C62" s="67">
        <v>2.5</v>
      </c>
      <c r="D62" s="51">
        <f>SUM(C62*1.609)</f>
        <v>4.0225</v>
      </c>
      <c r="E62" s="68" t="s">
        <v>77</v>
      </c>
    </row>
    <row r="63" spans="2:5" ht="12.75">
      <c r="B63" s="51" t="s">
        <v>103</v>
      </c>
      <c r="C63" s="69">
        <v>4</v>
      </c>
      <c r="D63" s="51">
        <f>SUM(C63*0.621)</f>
        <v>2.484</v>
      </c>
      <c r="E63" s="68" t="s">
        <v>20</v>
      </c>
    </row>
    <row r="65" ht="12.75">
      <c r="C65" s="15" t="s">
        <v>358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C65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  <hyperlink ref="E1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176</v>
      </c>
    </row>
    <row r="2" spans="1:5" ht="24.75" customHeight="1">
      <c r="A2" s="103"/>
      <c r="B2" s="1"/>
      <c r="C2" s="76" t="s">
        <v>118</v>
      </c>
      <c r="D2" s="77"/>
      <c r="E2" s="78"/>
    </row>
    <row r="4" ht="24" thickBot="1">
      <c r="A4" s="6" t="s">
        <v>0</v>
      </c>
    </row>
    <row r="5" spans="2:5" ht="12.75">
      <c r="B5" s="8" t="s">
        <v>10</v>
      </c>
      <c r="C5" s="97">
        <v>0</v>
      </c>
      <c r="E5" s="9"/>
    </row>
    <row r="6" spans="1:5" ht="20.25">
      <c r="A6" s="48" t="s">
        <v>68</v>
      </c>
      <c r="B6" s="48"/>
      <c r="C6" s="48"/>
      <c r="D6" s="48"/>
      <c r="E6" s="49"/>
    </row>
    <row r="7" spans="2:3" ht="12.75">
      <c r="B7" s="198" t="s">
        <v>360</v>
      </c>
      <c r="C7" s="194">
        <f>'Costs per kilometer'!$A$53</f>
        <v>142</v>
      </c>
    </row>
    <row r="8" spans="1:3" ht="13.5" thickBot="1">
      <c r="A8" s="12"/>
      <c r="B8" s="198" t="s">
        <v>359</v>
      </c>
      <c r="C8" s="197">
        <f>'Costs per kilometer'!$A$54</f>
        <v>88.182</v>
      </c>
    </row>
    <row r="9" spans="1:6" ht="18.75">
      <c r="A9" s="12"/>
      <c r="B9" s="206" t="s">
        <v>381</v>
      </c>
      <c r="C9" s="207">
        <v>5</v>
      </c>
      <c r="E9" t="s">
        <v>967</v>
      </c>
      <c r="F9" s="27">
        <v>0.1</v>
      </c>
    </row>
    <row r="10" spans="1:6" ht="19.5" thickBot="1">
      <c r="A10" s="195" t="s">
        <v>11</v>
      </c>
      <c r="B10" s="206" t="s">
        <v>382</v>
      </c>
      <c r="C10" s="208">
        <v>10</v>
      </c>
      <c r="E10" t="s">
        <v>968</v>
      </c>
      <c r="F10">
        <v>750</v>
      </c>
    </row>
    <row r="11" spans="1:6" ht="15">
      <c r="A11" s="87">
        <v>1</v>
      </c>
      <c r="B11" t="s">
        <v>12</v>
      </c>
      <c r="C11" s="96">
        <v>0.32</v>
      </c>
      <c r="D11" t="s">
        <v>13</v>
      </c>
      <c r="F11" s="27">
        <f>SUM(F10*F9)</f>
        <v>75</v>
      </c>
    </row>
    <row r="12" spans="1:4" ht="15.75" thickBot="1">
      <c r="A12" s="87">
        <v>2</v>
      </c>
      <c r="B12" t="s">
        <v>14</v>
      </c>
      <c r="C12" s="95">
        <v>0</v>
      </c>
      <c r="D12" t="s">
        <v>15</v>
      </c>
    </row>
    <row r="13" spans="1:4" ht="16.5" customHeight="1">
      <c r="A13" s="87">
        <v>3</v>
      </c>
      <c r="B13" s="14" t="s">
        <v>69</v>
      </c>
      <c r="C13" s="142">
        <f>'Costs per kilometer'!$A$50</f>
        <v>112</v>
      </c>
      <c r="D13" s="15" t="s">
        <v>16</v>
      </c>
    </row>
    <row r="14" spans="1:4" ht="16.5" customHeight="1" thickBot="1">
      <c r="A14" s="87">
        <v>4</v>
      </c>
      <c r="B14" s="14" t="s">
        <v>125</v>
      </c>
      <c r="C14" s="142">
        <f>'Costs per kilometer'!$A$51</f>
        <v>110</v>
      </c>
      <c r="D14" s="15" t="s">
        <v>16</v>
      </c>
    </row>
    <row r="15" spans="1:5" ht="16.5" customHeight="1" thickBot="1">
      <c r="A15" s="87">
        <v>5</v>
      </c>
      <c r="B15" s="14" t="s">
        <v>186</v>
      </c>
      <c r="C15" s="109">
        <v>5000</v>
      </c>
      <c r="D15" s="16" t="s">
        <v>187</v>
      </c>
      <c r="E15" s="81"/>
    </row>
    <row r="16" spans="1:5" ht="16.5" customHeight="1">
      <c r="A16" s="87">
        <v>6</v>
      </c>
      <c r="B16" s="14" t="s">
        <v>189</v>
      </c>
      <c r="C16" s="110">
        <v>8.25E-05</v>
      </c>
      <c r="D16" s="121" t="s">
        <v>201</v>
      </c>
      <c r="E16" s="120"/>
    </row>
    <row r="17" spans="1:5" ht="16.5" customHeight="1" thickBot="1">
      <c r="A17" s="87">
        <v>7</v>
      </c>
      <c r="B17" s="14" t="s">
        <v>188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17</v>
      </c>
      <c r="C18" s="80">
        <f>SUM(C11)-(C11*C12)</f>
        <v>0.32</v>
      </c>
      <c r="D18" s="16" t="s">
        <v>126</v>
      </c>
      <c r="E18" s="82"/>
    </row>
    <row r="19" spans="1:5" ht="16.5" customHeight="1" thickBot="1">
      <c r="A19" s="87">
        <v>9</v>
      </c>
      <c r="B19" s="13" t="s">
        <v>18</v>
      </c>
      <c r="C19" s="94">
        <v>60</v>
      </c>
      <c r="D19" s="13" t="s">
        <v>19</v>
      </c>
      <c r="E19" s="83"/>
    </row>
    <row r="20" spans="1:5" ht="16.5" customHeight="1" thickBot="1">
      <c r="A20" s="87">
        <v>10</v>
      </c>
      <c r="B20" s="13" t="s">
        <v>70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202</v>
      </c>
      <c r="C21" s="122">
        <v>20</v>
      </c>
      <c r="D21" s="13" t="s">
        <v>20</v>
      </c>
      <c r="E21" s="81"/>
    </row>
    <row r="22" spans="1:5" ht="16.5" customHeight="1" thickBot="1">
      <c r="A22" s="87">
        <v>12</v>
      </c>
      <c r="B22" s="86" t="s">
        <v>203</v>
      </c>
      <c r="C22" s="123">
        <v>60</v>
      </c>
      <c r="D22" s="86" t="s">
        <v>20</v>
      </c>
      <c r="E22" s="81"/>
    </row>
    <row r="23" spans="1:5" ht="16.5" customHeight="1" thickBot="1">
      <c r="A23" s="87">
        <v>13</v>
      </c>
      <c r="B23" s="20" t="s">
        <v>21</v>
      </c>
      <c r="C23" s="93">
        <v>200</v>
      </c>
      <c r="D23" s="13" t="s">
        <v>22</v>
      </c>
      <c r="E23" s="81"/>
    </row>
    <row r="24" spans="1:5" ht="16.5" customHeight="1" thickBot="1">
      <c r="A24" s="87">
        <v>14</v>
      </c>
      <c r="B24" s="124" t="s">
        <v>208</v>
      </c>
      <c r="C24" s="123">
        <v>200</v>
      </c>
      <c r="D24" s="124" t="s">
        <v>209</v>
      </c>
      <c r="E24" s="81"/>
    </row>
    <row r="25" spans="1:5" ht="16.5" customHeight="1">
      <c r="A25" s="87">
        <v>15</v>
      </c>
      <c r="B25" s="13" t="s">
        <v>204</v>
      </c>
      <c r="C25" s="21">
        <f>SUM($C$21/$C$23)</f>
        <v>0.1</v>
      </c>
      <c r="D25" s="22" t="s">
        <v>23</v>
      </c>
      <c r="E25" s="81"/>
    </row>
    <row r="26" spans="1:5" ht="16.5" customHeight="1">
      <c r="A26" s="87">
        <v>16</v>
      </c>
      <c r="B26" s="13" t="s">
        <v>205</v>
      </c>
      <c r="C26" s="21">
        <f>SUM(60*$C$25)</f>
        <v>6</v>
      </c>
      <c r="D26" s="13" t="s">
        <v>71</v>
      </c>
      <c r="E26" s="81"/>
    </row>
    <row r="27" spans="1:5" ht="16.5" customHeight="1">
      <c r="A27" s="87">
        <v>17</v>
      </c>
      <c r="B27" s="86" t="s">
        <v>211</v>
      </c>
      <c r="C27" s="21">
        <f>SUM(C21/50)*60</f>
        <v>24</v>
      </c>
      <c r="D27" s="86" t="s">
        <v>71</v>
      </c>
      <c r="E27" s="81"/>
    </row>
    <row r="28" spans="1:5" ht="16.5" customHeight="1">
      <c r="A28" s="87">
        <v>18</v>
      </c>
      <c r="B28" s="86" t="s">
        <v>144</v>
      </c>
      <c r="C28" s="21">
        <f>SUM(C27-C26)</f>
        <v>18</v>
      </c>
      <c r="D28" s="86" t="s">
        <v>213</v>
      </c>
      <c r="E28" s="81"/>
    </row>
    <row r="29" spans="1:5" ht="16.5" customHeight="1" thickBot="1">
      <c r="A29" s="87">
        <v>19</v>
      </c>
      <c r="B29" s="124" t="s">
        <v>145</v>
      </c>
      <c r="C29" s="125">
        <f>SUM(20*(C28/60))</f>
        <v>6</v>
      </c>
      <c r="D29" s="124" t="s">
        <v>214</v>
      </c>
      <c r="E29" s="81"/>
    </row>
    <row r="30" spans="1:5" ht="16.5" customHeight="1">
      <c r="A30" s="87">
        <v>20</v>
      </c>
      <c r="B30" s="13" t="s">
        <v>206</v>
      </c>
      <c r="C30" s="21">
        <f>SUM(C22/C24)</f>
        <v>0.3</v>
      </c>
      <c r="D30" s="86" t="s">
        <v>23</v>
      </c>
      <c r="E30" s="81"/>
    </row>
    <row r="31" spans="1:5" ht="16.5" customHeight="1">
      <c r="A31" s="87">
        <v>21</v>
      </c>
      <c r="B31" s="13" t="s">
        <v>207</v>
      </c>
      <c r="C31" s="21">
        <f>SUM(60*$C$30)</f>
        <v>18</v>
      </c>
      <c r="D31" s="86" t="s">
        <v>71</v>
      </c>
      <c r="E31" s="81"/>
    </row>
    <row r="32" spans="1:5" ht="16.5" customHeight="1">
      <c r="A32" s="87">
        <v>22</v>
      </c>
      <c r="B32" s="86" t="s">
        <v>212</v>
      </c>
      <c r="C32" s="21">
        <f>SUM(C22/50)*60</f>
        <v>72</v>
      </c>
      <c r="D32" s="86" t="s">
        <v>71</v>
      </c>
      <c r="E32" s="81"/>
    </row>
    <row r="33" spans="1:5" ht="16.5" customHeight="1">
      <c r="A33" s="87">
        <v>23</v>
      </c>
      <c r="B33" s="13" t="s">
        <v>210</v>
      </c>
      <c r="C33" s="21">
        <f>SUM(C32-C31)</f>
        <v>54</v>
      </c>
      <c r="D33" s="86" t="s">
        <v>213</v>
      </c>
      <c r="E33" s="81"/>
    </row>
    <row r="34" spans="1:5" ht="16.5" customHeight="1" thickBot="1">
      <c r="A34" s="87">
        <v>24</v>
      </c>
      <c r="B34" s="126" t="s">
        <v>145</v>
      </c>
      <c r="C34" s="125">
        <f>SUM(C33/60)*20</f>
        <v>18</v>
      </c>
      <c r="D34" s="124" t="s">
        <v>214</v>
      </c>
      <c r="E34" s="81"/>
    </row>
    <row r="35" spans="1:5" s="187" customFormat="1" ht="16.5" customHeight="1">
      <c r="A35" s="186">
        <v>25</v>
      </c>
      <c r="B35" s="199" t="s">
        <v>357</v>
      </c>
      <c r="C35" s="190">
        <f>SUM(C19*C13)*(1440/$C$26)</f>
        <v>1612800</v>
      </c>
      <c r="E35" s="188"/>
    </row>
    <row r="36" spans="1:5" s="187" customFormat="1" ht="16.5" customHeight="1" thickBot="1">
      <c r="A36" s="87">
        <v>26</v>
      </c>
      <c r="B36" s="199" t="s">
        <v>355</v>
      </c>
      <c r="C36" s="191">
        <v>0.25</v>
      </c>
      <c r="E36" s="188"/>
    </row>
    <row r="37" spans="1:5" s="187" customFormat="1" ht="16.5" customHeight="1">
      <c r="A37" s="87">
        <v>27</v>
      </c>
      <c r="B37" s="199" t="s">
        <v>356</v>
      </c>
      <c r="C37" s="189">
        <f>SUM(C35*C36)</f>
        <v>403200</v>
      </c>
      <c r="E37" s="188"/>
    </row>
    <row r="38" spans="1:5" s="187" customFormat="1" ht="16.5" customHeight="1">
      <c r="A38" s="87"/>
      <c r="B38" s="199" t="s">
        <v>378</v>
      </c>
      <c r="C38" s="190">
        <f>SUM(C14)*(1440/$C$26)</f>
        <v>26400</v>
      </c>
      <c r="E38" s="188"/>
    </row>
    <row r="39" spans="1:5" s="187" customFormat="1" ht="16.5" customHeight="1" thickBot="1">
      <c r="A39" s="87"/>
      <c r="B39" s="199" t="s">
        <v>379</v>
      </c>
      <c r="C39" s="191">
        <v>0.8</v>
      </c>
      <c r="E39" s="188"/>
    </row>
    <row r="40" spans="1:5" s="187" customFormat="1" ht="16.5" customHeight="1">
      <c r="A40" s="87"/>
      <c r="B40" s="199" t="s">
        <v>380</v>
      </c>
      <c r="C40" s="189">
        <f>SUM(C39*C38)</f>
        <v>21120</v>
      </c>
      <c r="E40" s="188"/>
    </row>
    <row r="41" spans="1:5" ht="16.5" customHeight="1">
      <c r="A41" s="186">
        <v>28</v>
      </c>
      <c r="B41" t="s">
        <v>191</v>
      </c>
      <c r="C41" s="75">
        <f>SUM(C14*C15)*(1440/C31)</f>
        <v>44000000</v>
      </c>
      <c r="D41" s="23"/>
      <c r="E41" s="83"/>
    </row>
    <row r="42" spans="1:5" ht="16.5" customHeight="1">
      <c r="A42" s="87">
        <v>29</v>
      </c>
      <c r="B42" s="13" t="s">
        <v>376</v>
      </c>
      <c r="C42" s="129">
        <f>SUM($C$18*$C$21)</f>
        <v>6.4</v>
      </c>
      <c r="D42" s="128" t="s">
        <v>190</v>
      </c>
      <c r="E42" s="81"/>
    </row>
    <row r="43" spans="1:5" ht="16.5" customHeight="1">
      <c r="A43" s="87">
        <v>30</v>
      </c>
      <c r="B43" s="128" t="s">
        <v>377</v>
      </c>
      <c r="C43" s="127">
        <f>SUM($C$17*$C$22)</f>
        <v>24.75</v>
      </c>
      <c r="D43" s="128" t="s">
        <v>190</v>
      </c>
      <c r="E43" s="81"/>
    </row>
    <row r="44" spans="1:5" ht="16.5" customHeight="1">
      <c r="A44" s="186">
        <v>31</v>
      </c>
      <c r="B44" t="s">
        <v>25</v>
      </c>
      <c r="C44" s="18">
        <f>SUM(C23*24)</f>
        <v>4800</v>
      </c>
      <c r="D44" s="130"/>
      <c r="E44" s="83"/>
    </row>
    <row r="45" spans="1:5" ht="16.5" customHeight="1">
      <c r="A45" s="87">
        <v>32</v>
      </c>
      <c r="B45" t="s">
        <v>26</v>
      </c>
      <c r="C45" s="18">
        <f>SUM(C23*24)*C13</f>
        <v>537600</v>
      </c>
      <c r="D45" s="130"/>
      <c r="E45" s="83"/>
    </row>
    <row r="46" spans="1:5" ht="16.5" customHeight="1" thickBot="1">
      <c r="A46" s="87">
        <v>33</v>
      </c>
      <c r="B46" s="35" t="s">
        <v>196</v>
      </c>
      <c r="C46" s="35">
        <f>SUM(C13*C19)</f>
        <v>6720</v>
      </c>
      <c r="D46" s="35" t="s">
        <v>27</v>
      </c>
      <c r="E46" s="81"/>
    </row>
    <row r="47" spans="1:5" ht="16.5" customHeight="1">
      <c r="A47" s="186">
        <v>34</v>
      </c>
      <c r="B47" s="13" t="s">
        <v>156</v>
      </c>
      <c r="C47" s="16">
        <f>SUM(C18*C37)</f>
        <v>129024</v>
      </c>
      <c r="D47" s="81" t="s">
        <v>24</v>
      </c>
      <c r="E47" s="81"/>
    </row>
    <row r="48" spans="1:5" ht="16.5" customHeight="1">
      <c r="A48" s="87">
        <v>35</v>
      </c>
      <c r="B48" s="13" t="s">
        <v>157</v>
      </c>
      <c r="C48" s="16">
        <f>SUM(C41*C16)</f>
        <v>3630</v>
      </c>
      <c r="D48" s="81"/>
      <c r="E48" s="81"/>
    </row>
    <row r="49" spans="1:5" s="187" customFormat="1" ht="16.5" customHeight="1">
      <c r="A49" s="87">
        <v>36</v>
      </c>
      <c r="B49" s="187" t="s">
        <v>354</v>
      </c>
      <c r="C49" s="189">
        <f>$C$37</f>
        <v>403200</v>
      </c>
      <c r="D49" s="188"/>
      <c r="E49" s="188"/>
    </row>
    <row r="50" spans="1:5" ht="15" customHeight="1">
      <c r="A50" s="186">
        <v>37</v>
      </c>
      <c r="B50" t="s">
        <v>127</v>
      </c>
      <c r="C50" s="50">
        <f>SUM((C20-C19)*C13*(24/C25))</f>
        <v>-537600</v>
      </c>
      <c r="D50" s="81"/>
      <c r="E50" s="81"/>
    </row>
    <row r="51" spans="1:5" ht="15" customHeight="1">
      <c r="A51" s="87">
        <v>38</v>
      </c>
      <c r="B51" t="s">
        <v>72</v>
      </c>
      <c r="C51" s="192">
        <f>SUM(C50/(C49+C50))</f>
        <v>4</v>
      </c>
      <c r="D51" s="81"/>
      <c r="E51" s="81"/>
    </row>
    <row r="52" spans="1:5" ht="16.5" customHeight="1">
      <c r="A52" s="87">
        <v>39</v>
      </c>
      <c r="B52" t="s">
        <v>123</v>
      </c>
      <c r="C52" s="17">
        <f>SUM(C46*C18)</f>
        <v>2150.4</v>
      </c>
      <c r="D52" s="81" t="s">
        <v>28</v>
      </c>
      <c r="E52" s="81"/>
    </row>
    <row r="53" spans="1:5" ht="16.5" customHeight="1">
      <c r="A53" s="186">
        <v>40</v>
      </c>
      <c r="B53" s="112" t="s">
        <v>335</v>
      </c>
      <c r="C53" s="175">
        <f>SUM(C47*C18)</f>
        <v>41287.68</v>
      </c>
      <c r="D53" s="81" t="s">
        <v>28</v>
      </c>
      <c r="E53" s="81"/>
    </row>
    <row r="54" spans="1:5" ht="16.5" customHeight="1">
      <c r="A54" s="87">
        <v>41</v>
      </c>
      <c r="B54" s="112" t="s">
        <v>256</v>
      </c>
      <c r="C54" s="175">
        <f>SUM($C$37*$C$18)</f>
        <v>129024</v>
      </c>
      <c r="D54" s="81"/>
      <c r="E54" s="81"/>
    </row>
    <row r="55" spans="1:5" ht="16.5" customHeight="1">
      <c r="A55" s="87">
        <v>42</v>
      </c>
      <c r="B55" s="112" t="s">
        <v>257</v>
      </c>
      <c r="C55" s="175">
        <f>SUM(C18*C41)</f>
        <v>14080000</v>
      </c>
      <c r="D55" s="81"/>
      <c r="E55" s="81"/>
    </row>
    <row r="56" spans="1:5" ht="16.5" customHeight="1">
      <c r="A56" s="186">
        <v>43</v>
      </c>
      <c r="B56" s="112"/>
      <c r="C56" s="175"/>
      <c r="D56" s="81"/>
      <c r="E56" s="81"/>
    </row>
    <row r="57" spans="1:5" ht="16.5" customHeight="1">
      <c r="A57" s="87">
        <v>44</v>
      </c>
      <c r="B57" s="205" t="s">
        <v>383</v>
      </c>
      <c r="C57" s="193">
        <f>SUM(C37*C9)</f>
        <v>2016000</v>
      </c>
      <c r="E57" s="81"/>
    </row>
    <row r="58" spans="1:5" ht="16.5" customHeight="1">
      <c r="A58" s="87">
        <v>45</v>
      </c>
      <c r="B58" s="205" t="s">
        <v>384</v>
      </c>
      <c r="C58" s="193">
        <f>SUM(C57*30)</f>
        <v>60480000</v>
      </c>
      <c r="E58" s="81"/>
    </row>
    <row r="59" spans="1:5" ht="16.5" customHeight="1">
      <c r="A59" s="186">
        <v>46</v>
      </c>
      <c r="B59" s="205" t="s">
        <v>385</v>
      </c>
      <c r="C59" s="193">
        <f>SUM(C57*365)</f>
        <v>735840000</v>
      </c>
      <c r="D59" s="107"/>
      <c r="E59" s="81"/>
    </row>
    <row r="60" spans="1:5" ht="23.25" customHeight="1">
      <c r="A60" s="87">
        <v>47</v>
      </c>
      <c r="B60" s="205" t="s">
        <v>387</v>
      </c>
      <c r="C60" s="193">
        <f>SUM(C57/'Costs per kilometer'!A54)</f>
        <v>22861.80853235354</v>
      </c>
      <c r="D60" s="107"/>
      <c r="E60" s="81"/>
    </row>
    <row r="61" spans="1:5" ht="16.5" customHeight="1">
      <c r="A61" s="87">
        <v>48</v>
      </c>
      <c r="B61" s="205" t="s">
        <v>386</v>
      </c>
      <c r="C61" s="193">
        <f>SUM(C40*C10)</f>
        <v>211200</v>
      </c>
      <c r="D61" s="81"/>
      <c r="E61" s="81"/>
    </row>
    <row r="62" spans="1:5" ht="16.5" customHeight="1">
      <c r="A62" s="186">
        <v>49</v>
      </c>
      <c r="B62" s="205" t="s">
        <v>388</v>
      </c>
      <c r="C62" s="193">
        <f>SUM(C61*30)</f>
        <v>6336000</v>
      </c>
      <c r="D62" s="81"/>
      <c r="E62" s="81"/>
    </row>
    <row r="63" spans="1:5" ht="16.5" customHeight="1">
      <c r="A63" s="186"/>
      <c r="B63" s="205" t="s">
        <v>406</v>
      </c>
      <c r="C63" s="193">
        <f>SUM(C62*12)</f>
        <v>76032000</v>
      </c>
      <c r="D63" s="81"/>
      <c r="E63" s="81"/>
    </row>
    <row r="64" spans="1:5" ht="16.5" customHeight="1">
      <c r="A64" s="186"/>
      <c r="B64" s="205" t="s">
        <v>389</v>
      </c>
      <c r="C64" s="193">
        <f>SUM(C61/'Costs per kilometer'!A54)</f>
        <v>2395.046608151323</v>
      </c>
      <c r="D64" s="81"/>
      <c r="E64" s="81"/>
    </row>
    <row r="65" spans="1:5" ht="16.5" customHeight="1">
      <c r="A65" s="186"/>
      <c r="B65" s="209" t="s">
        <v>390</v>
      </c>
      <c r="C65" s="210">
        <f>SUM(C64+C60)</f>
        <v>25256.855140504864</v>
      </c>
      <c r="D65" s="81"/>
      <c r="E65" s="81"/>
    </row>
    <row r="66" spans="1:5" ht="16.5" customHeight="1">
      <c r="A66" s="186"/>
      <c r="B66" s="209" t="s">
        <v>405</v>
      </c>
      <c r="C66" s="210">
        <f>SUM(C59+C63)</f>
        <v>811872000</v>
      </c>
      <c r="D66" s="81"/>
      <c r="E66" s="81"/>
    </row>
    <row r="67" spans="1:5" ht="16.5" customHeight="1">
      <c r="A67" s="87">
        <v>50</v>
      </c>
      <c r="B67" s="112" t="s">
        <v>199</v>
      </c>
      <c r="C67" s="175">
        <f>SUM(C42*C16)</f>
        <v>0.000528</v>
      </c>
      <c r="E67" s="81"/>
    </row>
    <row r="68" spans="1:9" ht="16.5" customHeight="1">
      <c r="A68" s="87">
        <v>51</v>
      </c>
      <c r="B68" s="112" t="s">
        <v>122</v>
      </c>
      <c r="C68" s="175">
        <f>SUM(C54+(C54*C52))</f>
        <v>277582233.6</v>
      </c>
      <c r="E68" s="81"/>
      <c r="G68">
        <v>50</v>
      </c>
      <c r="H68" s="105">
        <v>140826000</v>
      </c>
      <c r="I68" s="105">
        <f>+H68*0.7</f>
        <v>98578200</v>
      </c>
    </row>
    <row r="69" spans="1:9" ht="16.5" customHeight="1">
      <c r="A69" s="186">
        <v>52</v>
      </c>
      <c r="B69" s="176" t="s">
        <v>197</v>
      </c>
      <c r="C69" s="177">
        <f>SUM(C54+C67)</f>
        <v>129024.000528</v>
      </c>
      <c r="E69" s="81"/>
      <c r="G69">
        <v>60</v>
      </c>
      <c r="H69" s="105">
        <v>167650000</v>
      </c>
      <c r="I69" s="105">
        <f>+H69*0.7</f>
        <v>117355000</v>
      </c>
    </row>
    <row r="70" spans="1:9" ht="16.5" customHeight="1" thickBot="1">
      <c r="A70" s="87">
        <v>53</v>
      </c>
      <c r="B70" s="178" t="s">
        <v>216</v>
      </c>
      <c r="C70" s="179">
        <f>SUM(C67:C68)</f>
        <v>277582233.600528</v>
      </c>
      <c r="D70" s="35"/>
      <c r="G70">
        <v>70</v>
      </c>
      <c r="H70" s="105">
        <v>194475000</v>
      </c>
      <c r="I70" s="105">
        <f>+H70*0.7</f>
        <v>136132500</v>
      </c>
    </row>
    <row r="71" spans="1:5" ht="16.5" customHeight="1">
      <c r="A71" s="87">
        <v>54</v>
      </c>
      <c r="B71" t="s">
        <v>198</v>
      </c>
      <c r="C71" s="17">
        <f>SUM($C$37*$C$18)</f>
        <v>129024</v>
      </c>
      <c r="D71" s="81"/>
      <c r="E71" s="81"/>
    </row>
    <row r="72" spans="1:5" ht="16.5" customHeight="1">
      <c r="A72" s="186">
        <v>55</v>
      </c>
      <c r="B72" t="s">
        <v>199</v>
      </c>
      <c r="C72" s="17">
        <f>SUM(C41*C16)</f>
        <v>3630</v>
      </c>
      <c r="E72" s="81"/>
    </row>
    <row r="73" spans="1:9" ht="16.5" customHeight="1">
      <c r="A73" s="87">
        <v>56</v>
      </c>
      <c r="B73" t="s">
        <v>122</v>
      </c>
      <c r="C73" s="17">
        <f>SUM(C71+(C71*C51))</f>
        <v>645120</v>
      </c>
      <c r="E73" s="81"/>
      <c r="G73">
        <v>50</v>
      </c>
      <c r="H73" s="105">
        <v>140826000</v>
      </c>
      <c r="I73" s="105">
        <f>+H73*0.7</f>
        <v>98578200</v>
      </c>
    </row>
    <row r="74" spans="1:9" ht="16.5" customHeight="1">
      <c r="A74" s="87">
        <v>57</v>
      </c>
      <c r="B74" s="41" t="s">
        <v>197</v>
      </c>
      <c r="C74" s="113">
        <f>SUM(C71+C72)</f>
        <v>132654</v>
      </c>
      <c r="E74" s="81"/>
      <c r="G74">
        <v>60</v>
      </c>
      <c r="H74" s="105">
        <v>167650000</v>
      </c>
      <c r="I74" s="105">
        <f aca="true" t="shared" si="0" ref="I74:I80">+H74*0.7</f>
        <v>117355000</v>
      </c>
    </row>
    <row r="75" spans="1:9" ht="16.5" customHeight="1" thickBot="1">
      <c r="A75" s="186">
        <v>58</v>
      </c>
      <c r="B75" s="35" t="s">
        <v>216</v>
      </c>
      <c r="C75" s="37">
        <f>SUM(C72:C73)</f>
        <v>648750</v>
      </c>
      <c r="D75" s="35"/>
      <c r="G75">
        <v>70</v>
      </c>
      <c r="H75" s="105">
        <v>194475000</v>
      </c>
      <c r="I75" s="105">
        <f t="shared" si="0"/>
        <v>136132500</v>
      </c>
    </row>
    <row r="76" spans="1:9" ht="15" customHeight="1">
      <c r="A76" s="87">
        <v>59</v>
      </c>
      <c r="B76" s="85" t="s">
        <v>128</v>
      </c>
      <c r="C76" s="17">
        <f>SUM((C11-C18)*$C$35)*$C$19*$C$18</f>
        <v>0</v>
      </c>
      <c r="D76" t="s">
        <v>73</v>
      </c>
      <c r="G76">
        <v>75</v>
      </c>
      <c r="H76" s="105">
        <v>207887000</v>
      </c>
      <c r="I76" s="105">
        <f t="shared" si="0"/>
        <v>145520900</v>
      </c>
    </row>
    <row r="77" spans="1:9" ht="15" customHeight="1" thickBot="1">
      <c r="A77" s="87">
        <v>60</v>
      </c>
      <c r="B77" s="131" t="s">
        <v>74</v>
      </c>
      <c r="C77" s="37">
        <f>SUM(C76*365)</f>
        <v>0</v>
      </c>
      <c r="D77" s="35"/>
      <c r="G77">
        <v>80</v>
      </c>
      <c r="H77" s="105">
        <v>221298000</v>
      </c>
      <c r="I77" s="105">
        <f t="shared" si="0"/>
        <v>154908600</v>
      </c>
    </row>
    <row r="78" spans="1:9" ht="15">
      <c r="A78" s="186">
        <v>61</v>
      </c>
      <c r="B78" s="85" t="s">
        <v>412</v>
      </c>
      <c r="C78" s="27">
        <f>SUM($C$57*30)</f>
        <v>60480000</v>
      </c>
      <c r="G78">
        <v>85</v>
      </c>
      <c r="H78" s="105">
        <v>234710000</v>
      </c>
      <c r="I78" s="105">
        <f t="shared" si="0"/>
        <v>164297000</v>
      </c>
    </row>
    <row r="79" spans="1:9" ht="15">
      <c r="A79" s="87">
        <v>62</v>
      </c>
      <c r="B79" s="85" t="s">
        <v>413</v>
      </c>
      <c r="C79" s="108">
        <f>SUM(C78*12)</f>
        <v>725760000</v>
      </c>
      <c r="G79">
        <v>95</v>
      </c>
      <c r="H79" s="105">
        <v>261535000</v>
      </c>
      <c r="I79" s="105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5">
        <v>274947000</v>
      </c>
      <c r="I80" s="105">
        <f t="shared" si="0"/>
        <v>192462900</v>
      </c>
    </row>
    <row r="81" spans="3:4" s="19" customFormat="1" ht="15.75">
      <c r="C81" s="118" t="s">
        <v>137</v>
      </c>
      <c r="D81" s="119">
        <f>'Costs per kilometer'!$E$50+('Costs per kilometer'!$E$50*C5)</f>
        <v>1308402534.9333334</v>
      </c>
    </row>
    <row r="82" spans="3:4" s="19" customFormat="1" ht="15.75">
      <c r="C82" s="118" t="s">
        <v>407</v>
      </c>
      <c r="D82" s="119">
        <f>$C$66</f>
        <v>811872000</v>
      </c>
    </row>
    <row r="83" spans="3:5" s="19" customFormat="1" ht="15.75">
      <c r="C83" s="118" t="s">
        <v>408</v>
      </c>
      <c r="D83" s="19">
        <f>SUM(D81/D82)</f>
        <v>1.6115872144048982</v>
      </c>
      <c r="E83" s="19" t="s">
        <v>409</v>
      </c>
    </row>
    <row r="84" spans="3:4" s="19" customFormat="1" ht="15.75">
      <c r="C84" s="118" t="s">
        <v>414</v>
      </c>
      <c r="D84" s="211">
        <v>0.32</v>
      </c>
    </row>
    <row r="85" spans="3:4" s="19" customFormat="1" ht="15.75">
      <c r="C85" s="118" t="s">
        <v>415</v>
      </c>
      <c r="D85" s="223">
        <f>SUM(D81/(D82*D84))</f>
        <v>5.036210045015307</v>
      </c>
    </row>
    <row r="86" spans="3:4" s="19" customFormat="1" ht="15">
      <c r="C86" s="26" t="s">
        <v>124</v>
      </c>
      <c r="D86" s="114">
        <v>18</v>
      </c>
    </row>
    <row r="87" spans="3:4" s="19" customFormat="1" ht="15">
      <c r="C87" s="26" t="s">
        <v>217</v>
      </c>
      <c r="D87" s="114">
        <v>4</v>
      </c>
    </row>
    <row r="88" spans="3:5" s="19" customFormat="1" ht="15">
      <c r="C88" s="26" t="s">
        <v>410</v>
      </c>
      <c r="D88" s="115">
        <f>ProductionTimeLine!$O$7</f>
        <v>0.22295454545454543</v>
      </c>
      <c r="E88" s="19" t="s">
        <v>411</v>
      </c>
    </row>
    <row r="89" spans="3:4" s="19" customFormat="1" ht="15">
      <c r="C89" s="26" t="s">
        <v>138</v>
      </c>
      <c r="D89" s="116">
        <f>SUM(D86:D88)</f>
        <v>22.222954545454545</v>
      </c>
    </row>
    <row r="90" spans="3:4" s="19" customFormat="1" ht="15">
      <c r="C90" s="26" t="s">
        <v>215</v>
      </c>
      <c r="D90" s="116">
        <f>SUM(D89/12)</f>
        <v>1.8519128787878787</v>
      </c>
    </row>
    <row r="91" spans="3:4" s="19" customFormat="1" ht="15.75">
      <c r="C91" s="26" t="s">
        <v>200</v>
      </c>
      <c r="D91" s="117">
        <f>SUM(12*D83)+D89</f>
        <v>41.56200111831332</v>
      </c>
    </row>
    <row r="92" spans="3:4" s="19" customFormat="1" ht="15.75">
      <c r="C92" s="26" t="s">
        <v>404</v>
      </c>
      <c r="D92" s="73">
        <f>SUM(D91/12)</f>
        <v>3.4635000931927764</v>
      </c>
    </row>
    <row r="93" spans="3:4" s="19" customFormat="1" ht="15">
      <c r="C93" s="26" t="s">
        <v>75</v>
      </c>
      <c r="D93" s="104">
        <f>SUM($C$78*12)</f>
        <v>725760000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5">
      <selection activeCell="A15" sqref="A1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3" width="28.8515625" style="0" customWidth="1"/>
    <col min="4" max="4" width="31.71093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1040</v>
      </c>
    </row>
    <row r="2" spans="1:2" ht="24.75" customHeight="1">
      <c r="A2" s="85" t="s">
        <v>997</v>
      </c>
      <c r="B2" s="1"/>
    </row>
    <row r="3" ht="15">
      <c r="B3" s="355" t="s">
        <v>118</v>
      </c>
    </row>
    <row r="4" ht="24" thickBot="1">
      <c r="A4" s="6" t="s">
        <v>0</v>
      </c>
    </row>
    <row r="5" spans="2:3" ht="13.5" thickBot="1">
      <c r="B5" s="8" t="s">
        <v>10</v>
      </c>
      <c r="C5" s="366">
        <v>0</v>
      </c>
    </row>
    <row r="6" spans="1:4" ht="12" customHeight="1">
      <c r="A6" s="363"/>
      <c r="B6" s="48"/>
      <c r="C6" s="365"/>
      <c r="D6" s="364"/>
    </row>
    <row r="7" spans="1:4" ht="18.75" thickBot="1">
      <c r="A7" s="195" t="s">
        <v>11</v>
      </c>
      <c r="C7" s="343">
        <f>'Costs per kilometer'!$A$54</f>
        <v>88.182</v>
      </c>
      <c r="D7" s="328" t="s">
        <v>998</v>
      </c>
    </row>
    <row r="8" spans="1:3" ht="15.75" thickBot="1">
      <c r="A8" s="87">
        <v>1</v>
      </c>
      <c r="B8" t="s">
        <v>999</v>
      </c>
      <c r="C8" s="96">
        <v>0.05</v>
      </c>
    </row>
    <row r="9" spans="1:3" ht="15.75" thickBot="1">
      <c r="A9" s="87">
        <v>2</v>
      </c>
      <c r="B9" t="s">
        <v>1000</v>
      </c>
      <c r="C9" s="367">
        <v>0.32</v>
      </c>
    </row>
    <row r="10" spans="1:4" ht="16.5" customHeight="1">
      <c r="A10" s="87">
        <v>3</v>
      </c>
      <c r="B10" s="14" t="s">
        <v>69</v>
      </c>
      <c r="C10" s="142">
        <f>'Costs per kilometer'!$A$47</f>
        <v>110</v>
      </c>
      <c r="D10" s="15"/>
    </row>
    <row r="11" spans="1:4" ht="16.5" customHeight="1">
      <c r="A11" s="87">
        <v>4</v>
      </c>
      <c r="B11" s="14" t="s">
        <v>125</v>
      </c>
      <c r="C11" s="142">
        <f>'Costs per kilometer'!$A$49</f>
        <v>110</v>
      </c>
      <c r="D11" s="15"/>
    </row>
    <row r="12" spans="1:4" ht="16.5" customHeight="1" thickBot="1">
      <c r="A12" s="87">
        <v>5</v>
      </c>
      <c r="B12" s="13" t="s">
        <v>18</v>
      </c>
      <c r="C12" s="329">
        <v>80</v>
      </c>
      <c r="D12" s="13" t="s">
        <v>19</v>
      </c>
    </row>
    <row r="13" spans="1:4" ht="16.5" customHeight="1" thickBot="1">
      <c r="A13" s="87">
        <v>6</v>
      </c>
      <c r="B13" s="13" t="s">
        <v>1001</v>
      </c>
      <c r="C13" s="122">
        <v>12</v>
      </c>
      <c r="D13" s="13" t="s">
        <v>71</v>
      </c>
    </row>
    <row r="14" spans="1:4" ht="16.5" customHeight="1" thickBot="1">
      <c r="A14" s="87">
        <v>7</v>
      </c>
      <c r="B14" s="86" t="s">
        <v>1002</v>
      </c>
      <c r="C14" s="123">
        <v>20</v>
      </c>
      <c r="D14" s="86" t="s">
        <v>71</v>
      </c>
    </row>
    <row r="15" spans="1:4" ht="16.5" customHeight="1" thickBot="1">
      <c r="A15" s="87"/>
      <c r="B15" s="86" t="s">
        <v>1003</v>
      </c>
      <c r="C15" s="330">
        <f>SUM(C10*C12)</f>
        <v>8800</v>
      </c>
      <c r="D15" s="86"/>
    </row>
    <row r="16" spans="1:4" ht="16.5" customHeight="1" thickBot="1">
      <c r="A16" s="87"/>
      <c r="B16" s="86" t="str">
        <f>CONCATENATE("Total Number of ",C13," Minute Time Blocks / Day")</f>
        <v>Total Number of 12 Minute Time Blocks / Day</v>
      </c>
      <c r="C16" s="330">
        <f>SUM(60*24)/C13</f>
        <v>120</v>
      </c>
      <c r="D16" s="86"/>
    </row>
    <row r="17" spans="1:4" ht="16.5" customHeight="1" thickBot="1">
      <c r="A17" s="87"/>
      <c r="B17" s="86" t="s">
        <v>1004</v>
      </c>
      <c r="C17" s="330">
        <f>SUM(C15*C16)</f>
        <v>1056000</v>
      </c>
      <c r="D17" s="86"/>
    </row>
    <row r="18" spans="1:4" ht="16.5" customHeight="1" thickBot="1">
      <c r="A18" s="331" t="s">
        <v>1008</v>
      </c>
      <c r="B18" s="86" t="s">
        <v>1005</v>
      </c>
      <c r="C18" s="332">
        <v>1</v>
      </c>
      <c r="D18" s="86" t="s">
        <v>1006</v>
      </c>
    </row>
    <row r="19" spans="1:4" ht="16.5" customHeight="1">
      <c r="A19" s="331" t="s">
        <v>1007</v>
      </c>
      <c r="B19" s="86" t="s">
        <v>1005</v>
      </c>
      <c r="C19" s="332">
        <v>1</v>
      </c>
      <c r="D19" s="86" t="s">
        <v>1006</v>
      </c>
    </row>
    <row r="20" spans="1:4" ht="16.5" customHeight="1">
      <c r="A20" s="333" t="s">
        <v>1008</v>
      </c>
      <c r="B20" s="334" t="s">
        <v>1017</v>
      </c>
      <c r="C20" s="335">
        <f>SUM(C17*C18)</f>
        <v>1056000</v>
      </c>
      <c r="D20" s="86" t="s">
        <v>1009</v>
      </c>
    </row>
    <row r="21" spans="1:4" ht="16.5" customHeight="1">
      <c r="A21" s="333" t="s">
        <v>1008</v>
      </c>
      <c r="B21" s="86" t="s">
        <v>1018</v>
      </c>
      <c r="C21" s="336">
        <f>SUM(C20*(C8*C13))</f>
        <v>633600.0000000001</v>
      </c>
      <c r="D21" s="86"/>
    </row>
    <row r="22" spans="1:4" ht="16.5" customHeight="1">
      <c r="A22" s="333" t="s">
        <v>1008</v>
      </c>
      <c r="B22" s="86" t="s">
        <v>1019</v>
      </c>
      <c r="C22" s="337">
        <f>SUM(C20*365)</f>
        <v>385440000</v>
      </c>
      <c r="D22" s="86" t="s">
        <v>1009</v>
      </c>
    </row>
    <row r="23" spans="1:4" ht="16.5" customHeight="1">
      <c r="A23" s="333" t="s">
        <v>1008</v>
      </c>
      <c r="B23" s="338" t="s">
        <v>1020</v>
      </c>
      <c r="C23" s="339">
        <f>SUM(C22*(C8*C13))</f>
        <v>231264000.00000003</v>
      </c>
      <c r="D23" s="86"/>
    </row>
    <row r="24" spans="1:4" ht="16.5" customHeight="1">
      <c r="A24" s="333" t="s">
        <v>1007</v>
      </c>
      <c r="B24" s="334" t="s">
        <v>1017</v>
      </c>
      <c r="C24" s="335">
        <f>SUM(C11*C16*C19)</f>
        <v>13200</v>
      </c>
      <c r="D24" s="86" t="s">
        <v>1009</v>
      </c>
    </row>
    <row r="25" spans="1:4" ht="16.5" customHeight="1">
      <c r="A25" s="333" t="s">
        <v>1007</v>
      </c>
      <c r="B25" s="86" t="s">
        <v>1018</v>
      </c>
      <c r="C25" s="336">
        <f>SUM(C24*C9)</f>
        <v>4224</v>
      </c>
      <c r="D25" s="86"/>
    </row>
    <row r="26" spans="1:4" ht="16.5" customHeight="1">
      <c r="A26" s="333" t="s">
        <v>1007</v>
      </c>
      <c r="B26" s="86" t="s">
        <v>1019</v>
      </c>
      <c r="C26" s="337">
        <f>SUM(C24*365)</f>
        <v>4818000</v>
      </c>
      <c r="D26" s="86" t="s">
        <v>1009</v>
      </c>
    </row>
    <row r="27" spans="1:4" ht="16.5" customHeight="1">
      <c r="A27" s="333" t="s">
        <v>1007</v>
      </c>
      <c r="B27" s="338" t="s">
        <v>1020</v>
      </c>
      <c r="C27" s="339">
        <f>SUM(C26*(C9*C14))</f>
        <v>30835200</v>
      </c>
      <c r="D27" s="86"/>
    </row>
    <row r="28" spans="1:4" ht="16.5" customHeight="1">
      <c r="A28" s="333" t="s">
        <v>1008</v>
      </c>
      <c r="B28" s="348" t="str">
        <f>CONCATENATE("Revenue / Trip / Single Pedestrian  at $",(C8)," /minute for ",(C13)," minutes")</f>
        <v>Revenue / Trip / Single Pedestrian  at $0.05 /minute for 12 minutes</v>
      </c>
      <c r="C28" s="349">
        <f>SUM(C8*$C$13)</f>
        <v>0.6000000000000001</v>
      </c>
      <c r="D28" s="128" t="s">
        <v>190</v>
      </c>
    </row>
    <row r="29" spans="1:4" ht="16.5" customHeight="1">
      <c r="A29" s="333" t="s">
        <v>1007</v>
      </c>
      <c r="B29" s="348" t="str">
        <f>CONCATENATE("Revenue / Trip / Single Car Transport at $",(C9)," /minute for ",(C14)," minutes")</f>
        <v>Revenue / Trip / Single Car Transport at $0.32 /minute for 20 minutes</v>
      </c>
      <c r="C29" s="349">
        <f>SUM(C9*$C$14)</f>
        <v>6.4</v>
      </c>
      <c r="D29" s="128" t="s">
        <v>190</v>
      </c>
    </row>
    <row r="30" spans="1:4" ht="16.5" customHeight="1">
      <c r="A30" s="333" t="s">
        <v>1038</v>
      </c>
      <c r="B30" s="348" t="s">
        <v>1010</v>
      </c>
      <c r="C30" s="350">
        <v>120</v>
      </c>
      <c r="D30" s="86" t="s">
        <v>1011</v>
      </c>
    </row>
    <row r="31" spans="1:4" ht="16.5" customHeight="1">
      <c r="A31" s="333" t="s">
        <v>1038</v>
      </c>
      <c r="B31" s="348" t="str">
        <f>CONCATENATE("Possible Distance Covered Traveling at ",(C30),"mph for ",(C13)," minutes")</f>
        <v>Possible Distance Covered Traveling at 120mph for 12 minutes</v>
      </c>
      <c r="C31" s="350">
        <f>SUM(C30/60)*C13</f>
        <v>24</v>
      </c>
      <c r="D31" s="86" t="s">
        <v>20</v>
      </c>
    </row>
    <row r="32" spans="1:4" ht="16.5" customHeight="1">
      <c r="A32" s="333" t="s">
        <v>1039</v>
      </c>
      <c r="B32" s="346" t="s">
        <v>1021</v>
      </c>
      <c r="C32" s="352">
        <f>SUM(C23+C27)</f>
        <v>262099200.00000003</v>
      </c>
      <c r="D32" s="347" t="s">
        <v>1033</v>
      </c>
    </row>
    <row r="33" spans="1:4" ht="16.5" customHeight="1">
      <c r="A33" s="333"/>
      <c r="B33" s="351" t="s">
        <v>336</v>
      </c>
      <c r="C33" s="352">
        <f>'Advertising - Rent'!$G$16</f>
        <v>1434624000</v>
      </c>
      <c r="D33" s="81"/>
    </row>
    <row r="34" spans="1:4" ht="16.5" customHeight="1">
      <c r="A34" s="333"/>
      <c r="B34" s="351" t="s">
        <v>370</v>
      </c>
      <c r="C34" s="352">
        <f>'Advertising - Rent'!$G$27</f>
        <v>36672000</v>
      </c>
      <c r="D34" s="81"/>
    </row>
    <row r="35" spans="1:4" ht="16.5" customHeight="1">
      <c r="A35" s="333"/>
      <c r="B35" s="353" t="s">
        <v>1012</v>
      </c>
      <c r="C35" s="354">
        <f>SUM(C32:C34)</f>
        <v>1733395200</v>
      </c>
      <c r="D35" s="81"/>
    </row>
    <row r="36" spans="1:8" ht="18">
      <c r="A36" s="10"/>
      <c r="B36" s="84"/>
      <c r="C36" s="52"/>
      <c r="D36" s="24"/>
      <c r="F36">
        <v>100</v>
      </c>
      <c r="G36" s="264">
        <v>274947000</v>
      </c>
      <c r="H36" s="264">
        <f>+G36*0.7</f>
        <v>192462900</v>
      </c>
    </row>
    <row r="37" spans="2:3" s="19" customFormat="1" ht="15.75">
      <c r="B37" s="118" t="str">
        <f>CONCATENATE("Budget&gt;&gt; Cost for Installation for ",ROUNDUP(C7,2)," miles")</f>
        <v>Budget&gt;&gt; Cost for Installation for 88.19 miles</v>
      </c>
      <c r="C37" s="119">
        <f>SUM('Costs per kilometer'!$E$50*C5)+'Costs per kilometer'!$E$50</f>
        <v>1308402534.9333334</v>
      </c>
    </row>
    <row r="38" spans="2:3" s="19" customFormat="1" ht="15.75">
      <c r="B38" s="118" t="s">
        <v>407</v>
      </c>
      <c r="C38" s="119">
        <f>SUM(C35)</f>
        <v>1733395200</v>
      </c>
    </row>
    <row r="39" spans="2:4" s="19" customFormat="1" ht="15.75">
      <c r="B39" s="118" t="s">
        <v>1013</v>
      </c>
      <c r="C39" s="19">
        <f>SUM(C37/C38)</f>
        <v>0.7548206750159072</v>
      </c>
      <c r="D39" s="19" t="s">
        <v>409</v>
      </c>
    </row>
    <row r="40" spans="2:3" s="19" customFormat="1" ht="15.75">
      <c r="B40" s="118" t="s">
        <v>1014</v>
      </c>
      <c r="C40" s="211">
        <v>0.5</v>
      </c>
    </row>
    <row r="41" spans="2:3" s="19" customFormat="1" ht="15.75">
      <c r="B41" s="118" t="s">
        <v>1041</v>
      </c>
      <c r="C41" s="119">
        <f>SUM(C38*C40)</f>
        <v>866697600</v>
      </c>
    </row>
    <row r="42" spans="2:4" s="19" customFormat="1" ht="15.75" customHeight="1" thickBot="1">
      <c r="B42" s="356" t="s">
        <v>1015</v>
      </c>
      <c r="C42" s="357">
        <f>SUM(C37/(C38*C40))</f>
        <v>1.5096413500318144</v>
      </c>
      <c r="D42" s="19" t="s">
        <v>409</v>
      </c>
    </row>
    <row r="43" spans="2:3" s="19" customFormat="1" ht="15.75" customHeight="1" thickTop="1">
      <c r="B43" s="358"/>
      <c r="C43" s="359"/>
    </row>
    <row r="44" spans="2:3" s="19" customFormat="1" ht="15.75" customHeight="1">
      <c r="B44" s="26" t="s">
        <v>124</v>
      </c>
      <c r="C44" s="362">
        <v>9</v>
      </c>
    </row>
    <row r="45" spans="2:3" s="19" customFormat="1" ht="15">
      <c r="B45" s="26" t="s">
        <v>1016</v>
      </c>
      <c r="C45" s="362">
        <v>3</v>
      </c>
    </row>
    <row r="46" spans="2:3" s="19" customFormat="1" ht="15">
      <c r="B46" s="26" t="s">
        <v>410</v>
      </c>
      <c r="C46" s="115">
        <f>'[5]ProductionTimeLine'!$N$7</f>
        <v>24.266666666666666</v>
      </c>
    </row>
    <row r="47" spans="2:3" s="19" customFormat="1" ht="15">
      <c r="B47" s="26" t="s">
        <v>1035</v>
      </c>
      <c r="C47" s="116">
        <f>SUM(C44:C46)</f>
        <v>36.266666666666666</v>
      </c>
    </row>
    <row r="48" spans="2:3" s="19" customFormat="1" ht="15">
      <c r="B48" s="26" t="s">
        <v>215</v>
      </c>
      <c r="C48" s="116">
        <f>SUM(C47/12)</f>
        <v>3.022222222222222</v>
      </c>
    </row>
    <row r="49" spans="2:3" s="19" customFormat="1" ht="15.75">
      <c r="B49" s="26" t="s">
        <v>200</v>
      </c>
      <c r="C49" s="117">
        <f>SUM(12*C39)+C47</f>
        <v>45.324514766857554</v>
      </c>
    </row>
    <row r="50" spans="2:3" s="19" customFormat="1" ht="15.75">
      <c r="B50" s="26" t="s">
        <v>404</v>
      </c>
      <c r="C50" s="117">
        <f>SUM(C49/12)</f>
        <v>3.7770428972381294</v>
      </c>
    </row>
    <row r="51" spans="2:3" s="19" customFormat="1" ht="15">
      <c r="B51" s="26" t="s">
        <v>1026</v>
      </c>
      <c r="C51" s="341">
        <v>10079985</v>
      </c>
    </row>
    <row r="52" spans="2:3" s="19" customFormat="1" ht="15">
      <c r="B52" s="26" t="s">
        <v>1028</v>
      </c>
      <c r="C52" s="342">
        <f>SUM(C41/C51)</f>
        <v>85.9820327113582</v>
      </c>
    </row>
    <row r="53" spans="2:3" ht="15.75" thickBot="1">
      <c r="B53" s="340" t="s">
        <v>1027</v>
      </c>
      <c r="C53" s="341">
        <v>900000</v>
      </c>
    </row>
    <row r="54" spans="2:3" ht="18.75" thickBot="1">
      <c r="B54" s="360" t="str">
        <f>CONCATENATE("Detroit Annual Revenue Per Capita for ",ROUNDUP(C7,2)," miles")</f>
        <v>Detroit Annual Revenue Per Capita for 88.19 miles</v>
      </c>
      <c r="C54" s="361">
        <f>SUM(C53*C52)</f>
        <v>77383829.44022238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422</v>
      </c>
    </row>
    <row r="2" spans="1:6" ht="16.5" customHeight="1">
      <c r="A2" s="11" t="s">
        <v>423</v>
      </c>
      <c r="B2" s="11"/>
      <c r="C2" s="11"/>
      <c r="D2" s="11"/>
      <c r="E2" s="11"/>
      <c r="F2" s="11"/>
    </row>
    <row r="3" spans="1:3" ht="12.75">
      <c r="A3" t="s">
        <v>424</v>
      </c>
      <c r="C3">
        <v>15300</v>
      </c>
    </row>
    <row r="4" spans="1:3" ht="12.75">
      <c r="A4" t="s">
        <v>425</v>
      </c>
      <c r="C4" s="174">
        <v>0.8</v>
      </c>
    </row>
    <row r="5" spans="1:4" ht="12.75">
      <c r="A5" t="s">
        <v>426</v>
      </c>
      <c r="C5">
        <f>SUM(C3)</f>
        <v>15300</v>
      </c>
      <c r="D5" t="s">
        <v>427</v>
      </c>
    </row>
    <row r="6" spans="1:3" ht="12.75">
      <c r="A6" t="s">
        <v>428</v>
      </c>
      <c r="C6" s="323">
        <f>SolarCells!$E$17</f>
        <v>59580928</v>
      </c>
    </row>
    <row r="7" spans="1:4" ht="12.75">
      <c r="A7" t="s">
        <v>429</v>
      </c>
      <c r="C7" s="147">
        <f>SUM(C6/C5)</f>
        <v>3894.1783006535948</v>
      </c>
      <c r="D7" t="s">
        <v>430</v>
      </c>
    </row>
    <row r="8" spans="1:3" ht="12.75">
      <c r="A8" t="s">
        <v>431</v>
      </c>
      <c r="C8" s="147">
        <f>SUM(C7*C4)</f>
        <v>3115.342640522876</v>
      </c>
    </row>
    <row r="9" spans="1:3" ht="12.75">
      <c r="A9" t="s">
        <v>432</v>
      </c>
      <c r="C9" s="147">
        <v>9</v>
      </c>
    </row>
    <row r="10" spans="1:3" ht="12.75">
      <c r="A10" t="s">
        <v>433</v>
      </c>
      <c r="C10" s="229">
        <f>SUM(C8*C9)</f>
        <v>28038.083764705883</v>
      </c>
    </row>
    <row r="11" spans="1:3" ht="12.75">
      <c r="A11" t="s">
        <v>434</v>
      </c>
      <c r="C11" s="147">
        <v>7.48</v>
      </c>
    </row>
    <row r="12" spans="1:3" ht="12.75">
      <c r="A12" t="s">
        <v>435</v>
      </c>
      <c r="C12" s="229">
        <f>SUM(C10/C11)</f>
        <v>3748.4069204152247</v>
      </c>
    </row>
    <row r="13" spans="1:4" ht="12.75">
      <c r="A13" t="s">
        <v>985</v>
      </c>
      <c r="C13" s="230">
        <f>SUM(C12/'Costs per kilometer'!A54)</f>
        <v>42.50761970033822</v>
      </c>
      <c r="D13" s="230"/>
    </row>
    <row r="14" spans="1:3" ht="12.75">
      <c r="A14" t="s">
        <v>986</v>
      </c>
      <c r="C14" s="230">
        <f>SUM(C12*9)</f>
        <v>33735.66228373702</v>
      </c>
    </row>
    <row r="15" ht="12.75">
      <c r="A15" t="s">
        <v>437</v>
      </c>
    </row>
    <row r="18" ht="12.75">
      <c r="A18" t="s">
        <v>601</v>
      </c>
    </row>
    <row r="19" spans="1:6" ht="12.75">
      <c r="A19" s="11" t="s">
        <v>438</v>
      </c>
      <c r="B19" s="11"/>
      <c r="C19" s="11"/>
      <c r="D19" s="11"/>
      <c r="E19" s="11"/>
      <c r="F19" s="11"/>
    </row>
    <row r="20" spans="1:10" ht="12.75">
      <c r="A20" t="s">
        <v>428</v>
      </c>
      <c r="C20" s="323">
        <f>SolarCells!$E$17</f>
        <v>59580928</v>
      </c>
      <c r="G20">
        <f>SUM(365*24*60)</f>
        <v>525600</v>
      </c>
      <c r="H20" t="s">
        <v>600</v>
      </c>
      <c r="J20">
        <f>SUM(G20/43560)</f>
        <v>12.066115702479339</v>
      </c>
    </row>
    <row r="21" spans="1:7" ht="12.75">
      <c r="A21" t="s">
        <v>439</v>
      </c>
      <c r="C21">
        <v>5000</v>
      </c>
      <c r="G21">
        <f>SUM(365*24*60)</f>
        <v>525600</v>
      </c>
    </row>
    <row r="22" spans="1:4" ht="12.75">
      <c r="A22" t="s">
        <v>440</v>
      </c>
      <c r="C22" s="230">
        <f>SUM(C20/C21)</f>
        <v>11916.1856</v>
      </c>
      <c r="D22" t="s">
        <v>441</v>
      </c>
    </row>
    <row r="23" spans="1:4" ht="12.75">
      <c r="A23" t="s">
        <v>442</v>
      </c>
      <c r="C23">
        <v>0.0813</v>
      </c>
      <c r="D23" t="s">
        <v>443</v>
      </c>
    </row>
    <row r="24" spans="3:4" ht="12.75">
      <c r="C24" s="230">
        <f>SUM(C22*C23)</f>
        <v>968.78588928</v>
      </c>
      <c r="D24" t="s">
        <v>444</v>
      </c>
    </row>
    <row r="25" spans="1:3" ht="12.75">
      <c r="A25" t="s">
        <v>432</v>
      </c>
      <c r="C25">
        <v>9</v>
      </c>
    </row>
    <row r="26" spans="3:4" ht="12.75">
      <c r="C26" s="230">
        <f>SUM(C24*C25)</f>
        <v>8719.07300352</v>
      </c>
      <c r="D26" t="s">
        <v>445</v>
      </c>
    </row>
    <row r="27" spans="1:4" ht="12.75">
      <c r="A27" t="s">
        <v>446</v>
      </c>
      <c r="C27">
        <v>3.785</v>
      </c>
      <c r="D27" t="s">
        <v>447</v>
      </c>
    </row>
    <row r="28" spans="3:7" ht="12.75">
      <c r="C28" s="230">
        <f>SUM(C26/C27)</f>
        <v>2303.585998287979</v>
      </c>
      <c r="D28" t="s">
        <v>448</v>
      </c>
      <c r="G28" s="230">
        <f>SUM(C28/60)/8</f>
        <v>4.799137496433289</v>
      </c>
    </row>
    <row r="29" spans="3:4" ht="12.75">
      <c r="C29">
        <v>8</v>
      </c>
      <c r="D29" t="s">
        <v>449</v>
      </c>
    </row>
    <row r="30" spans="3:4" ht="12.75">
      <c r="C30" s="230">
        <f>SUM(C28*C29)</f>
        <v>18428.68798630383</v>
      </c>
      <c r="D30" t="s">
        <v>450</v>
      </c>
    </row>
    <row r="31" spans="3:4" ht="12.75">
      <c r="C31">
        <v>365</v>
      </c>
      <c r="D31" t="s">
        <v>451</v>
      </c>
    </row>
    <row r="32" spans="3:4" ht="12.75">
      <c r="C32" s="230">
        <f>SUM(C30*C31)</f>
        <v>6726471.115000898</v>
      </c>
      <c r="D32" t="s">
        <v>452</v>
      </c>
    </row>
    <row r="33" spans="1:4" ht="12.75">
      <c r="A33" t="s">
        <v>436</v>
      </c>
      <c r="C33">
        <v>54000</v>
      </c>
      <c r="D33" t="s">
        <v>453</v>
      </c>
    </row>
    <row r="34" spans="1:3" ht="12.75">
      <c r="A34" t="s">
        <v>454</v>
      </c>
      <c r="C34" s="230">
        <f>SUM(C33/300*C32)</f>
        <v>1210764800.7001617</v>
      </c>
    </row>
    <row r="37" ht="12.75">
      <c r="A37" t="s">
        <v>240</v>
      </c>
    </row>
    <row r="39" spans="1:2" ht="12.75">
      <c r="A39" t="s">
        <v>241</v>
      </c>
      <c r="B39" s="135">
        <v>0.112</v>
      </c>
    </row>
    <row r="40" spans="1:2" ht="12.75">
      <c r="A40" t="s">
        <v>242</v>
      </c>
      <c r="B40" s="135">
        <v>0.888</v>
      </c>
    </row>
    <row r="41" ht="12.75">
      <c r="B41" s="135">
        <f>SUM(B39:B40)</f>
        <v>1</v>
      </c>
    </row>
    <row r="43" ht="12.75">
      <c r="A43" t="s">
        <v>245</v>
      </c>
    </row>
    <row r="44" ht="12.75">
      <c r="A44" t="s">
        <v>246</v>
      </c>
    </row>
    <row r="45" ht="12.75">
      <c r="A45" t="s">
        <v>247</v>
      </c>
    </row>
    <row r="46" ht="12.75">
      <c r="A46" t="s">
        <v>248</v>
      </c>
    </row>
    <row r="48" ht="12.75">
      <c r="A48" t="s">
        <v>243</v>
      </c>
    </row>
    <row r="49" ht="12.75">
      <c r="A49" t="s">
        <v>244</v>
      </c>
    </row>
    <row r="52" ht="12.75">
      <c r="A52" s="148" t="s">
        <v>249</v>
      </c>
    </row>
    <row r="53" ht="12.75">
      <c r="A53" s="148" t="s">
        <v>250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">
      <selection activeCell="I20" sqref="I20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78</v>
      </c>
      <c r="B1" s="53"/>
      <c r="C1" s="53"/>
    </row>
    <row r="2" spans="5:6" ht="12.75">
      <c r="E2" s="7" t="s">
        <v>79</v>
      </c>
      <c r="F2" s="51" t="s">
        <v>80</v>
      </c>
    </row>
    <row r="3" spans="1:13" ht="12.75">
      <c r="A3" t="s">
        <v>178</v>
      </c>
      <c r="B3" s="371" t="s">
        <v>185</v>
      </c>
      <c r="C3" s="371"/>
      <c r="D3" s="371"/>
      <c r="E3" s="7" t="s">
        <v>81</v>
      </c>
      <c r="F3" s="51" t="s">
        <v>82</v>
      </c>
      <c r="G3" s="51"/>
      <c r="J3" t="s">
        <v>97</v>
      </c>
      <c r="M3" t="s">
        <v>232</v>
      </c>
    </row>
    <row r="4" spans="1:17" ht="13.5" thickBot="1">
      <c r="A4" s="54" t="s">
        <v>37</v>
      </c>
      <c r="B4" s="30" t="s">
        <v>83</v>
      </c>
      <c r="C4" s="30" t="s">
        <v>84</v>
      </c>
      <c r="D4" s="30" t="s">
        <v>85</v>
      </c>
      <c r="E4" s="55" t="s">
        <v>86</v>
      </c>
      <c r="F4" s="55" t="s">
        <v>87</v>
      </c>
      <c r="G4" s="220" t="s">
        <v>396</v>
      </c>
      <c r="H4" s="55" t="s">
        <v>400</v>
      </c>
      <c r="I4" s="55" t="s">
        <v>602</v>
      </c>
      <c r="J4" s="220" t="s">
        <v>397</v>
      </c>
      <c r="K4" s="56" t="s">
        <v>88</v>
      </c>
      <c r="L4" s="56" t="s">
        <v>89</v>
      </c>
      <c r="M4" s="56" t="s">
        <v>90</v>
      </c>
      <c r="N4" s="57" t="s">
        <v>91</v>
      </c>
      <c r="O4" s="146" t="s">
        <v>233</v>
      </c>
      <c r="P4" s="146" t="s">
        <v>234</v>
      </c>
      <c r="Q4" s="146" t="s">
        <v>235</v>
      </c>
    </row>
    <row r="5" spans="1:17" ht="18" customHeight="1" thickTop="1">
      <c r="A5" s="58" t="s">
        <v>92</v>
      </c>
      <c r="B5" s="59">
        <v>120</v>
      </c>
      <c r="C5" s="60">
        <v>7.1</v>
      </c>
      <c r="D5" s="145">
        <f>SUM(B5/C5)</f>
        <v>16.901408450704228</v>
      </c>
      <c r="E5" s="61">
        <v>266</v>
      </c>
      <c r="F5" s="219">
        <v>3278</v>
      </c>
      <c r="G5" s="218">
        <v>8</v>
      </c>
      <c r="H5" s="221">
        <f>SUM(F5*G5)</f>
        <v>26224</v>
      </c>
      <c r="I5" s="221">
        <f>SUM(H5/43560)</f>
        <v>0.602020202020202</v>
      </c>
      <c r="J5" s="218">
        <v>8</v>
      </c>
      <c r="K5" s="28">
        <f>SUM(F5*G5*J5)</f>
        <v>209792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280.8460508701473</v>
      </c>
      <c r="P5" s="147">
        <f>'Old ROI'!$C$7</f>
        <v>142</v>
      </c>
      <c r="Q5" s="28">
        <f>SUM(K5*P5)/747</f>
        <v>39880.13922356091</v>
      </c>
    </row>
    <row r="6" spans="1:17" ht="18" customHeight="1">
      <c r="A6" s="58"/>
      <c r="B6" s="59">
        <v>120</v>
      </c>
      <c r="C6" s="60">
        <v>7.1</v>
      </c>
      <c r="D6" s="145">
        <f>SUM(B6/C6)</f>
        <v>16.901408450704228</v>
      </c>
      <c r="E6" s="61">
        <v>266</v>
      </c>
      <c r="F6" s="219">
        <v>5280</v>
      </c>
      <c r="G6" s="218">
        <v>8</v>
      </c>
      <c r="H6" s="221">
        <f>SUM(F6*G6)</f>
        <v>42240</v>
      </c>
      <c r="I6" s="221">
        <f>SUM(H6/43560)</f>
        <v>0.9696969696969697</v>
      </c>
      <c r="J6" s="218">
        <v>8</v>
      </c>
      <c r="K6" s="28">
        <f>SUM(F6*G6*J6)</f>
        <v>337920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452.3694779116466</v>
      </c>
      <c r="P6" s="147">
        <f>'Old ROI'!$C$8</f>
        <v>88.182</v>
      </c>
      <c r="Q6" s="28">
        <f>SUM(K6*P6)/747</f>
        <v>39890.84530120482</v>
      </c>
    </row>
    <row r="7" spans="1:11" ht="12.75">
      <c r="A7" s="62" t="s">
        <v>93</v>
      </c>
      <c r="B7" s="62"/>
      <c r="C7" s="62"/>
      <c r="K7">
        <f>SUM(K6*2)</f>
        <v>675840</v>
      </c>
    </row>
    <row r="8" ht="12.75">
      <c r="A8" s="15" t="s">
        <v>94</v>
      </c>
    </row>
    <row r="9" spans="5:7" ht="12.75">
      <c r="E9" t="s">
        <v>95</v>
      </c>
      <c r="F9" s="63">
        <f>SUM(E5/B5)</f>
        <v>2.216666666666667</v>
      </c>
      <c r="G9" t="s">
        <v>96</v>
      </c>
    </row>
    <row r="10" spans="1:7" ht="12.75">
      <c r="A10" s="11" t="s">
        <v>168</v>
      </c>
      <c r="B10" s="11"/>
      <c r="C10" s="11"/>
      <c r="D10" s="11"/>
      <c r="E10" s="11"/>
      <c r="F10" s="11"/>
      <c r="G10" t="s">
        <v>1</v>
      </c>
    </row>
    <row r="11" spans="4:5" ht="12.75">
      <c r="D11" s="51" t="s">
        <v>162</v>
      </c>
      <c r="E11" s="27">
        <v>0.1</v>
      </c>
    </row>
    <row r="12" spans="4:5" ht="12.75">
      <c r="D12" s="51" t="s">
        <v>164</v>
      </c>
      <c r="E12" s="92">
        <f>SUM(E11/1000)</f>
        <v>0.0001</v>
      </c>
    </row>
    <row r="13" spans="4:6" ht="12.75">
      <c r="D13" s="51" t="s">
        <v>988</v>
      </c>
      <c r="E13" s="71">
        <f>$K$5</f>
        <v>209792</v>
      </c>
      <c r="F13" s="27">
        <f>SUM(E13*$E$11)/1000</f>
        <v>20.979200000000002</v>
      </c>
    </row>
    <row r="14" spans="4:6" ht="12.75">
      <c r="D14" s="51" t="s">
        <v>166</v>
      </c>
      <c r="E14" s="51">
        <f>'Old ROI'!$C$7</f>
        <v>142</v>
      </c>
      <c r="F14" s="27"/>
    </row>
    <row r="15" spans="4:6" ht="12.75">
      <c r="D15" s="51" t="s">
        <v>401</v>
      </c>
      <c r="E15" s="324">
        <f>SUM(E14*0.62)</f>
        <v>88.04</v>
      </c>
      <c r="F15" s="27"/>
    </row>
    <row r="16" spans="1:8" ht="13.5" thickBot="1">
      <c r="A16" s="35"/>
      <c r="B16" s="35"/>
      <c r="C16" s="35"/>
      <c r="D16" s="64" t="s">
        <v>987</v>
      </c>
      <c r="E16" s="65">
        <f>SUM(E14*E13)</f>
        <v>29790464</v>
      </c>
      <c r="F16" s="27">
        <f>SUM(E16*$E$11)/1000</f>
        <v>2979.0464</v>
      </c>
      <c r="G16" s="229"/>
      <c r="H16" s="229"/>
    </row>
    <row r="17" spans="3:9" ht="15.75" thickBot="1">
      <c r="C17" s="325"/>
      <c r="D17" s="326" t="s">
        <v>158</v>
      </c>
      <c r="E17" s="327">
        <f>SUM(E16*2)</f>
        <v>59580928</v>
      </c>
      <c r="F17" t="s">
        <v>167</v>
      </c>
      <c r="G17" s="229">
        <f>SUM(TwinRail_Output*0.001)</f>
        <v>59580.928</v>
      </c>
      <c r="H17" s="105">
        <f>SUM(G17*10*365)</f>
        <v>217470387.20000002</v>
      </c>
      <c r="I17" s="105"/>
    </row>
    <row r="18" spans="3:5" ht="12.75">
      <c r="C18" s="81"/>
      <c r="D18" s="88" t="s">
        <v>526</v>
      </c>
      <c r="E18" s="91">
        <f>SUM(E17/J5)</f>
        <v>7447616</v>
      </c>
    </row>
    <row r="19" spans="3:5" ht="12.75">
      <c r="C19" s="81"/>
      <c r="D19" s="88" t="s">
        <v>526</v>
      </c>
      <c r="E19" s="91">
        <f>SUM(H6*E15)*2</f>
        <v>7437619.2</v>
      </c>
    </row>
    <row r="20" spans="3:6" ht="15.75">
      <c r="C20" s="81"/>
      <c r="D20" s="88" t="s">
        <v>527</v>
      </c>
      <c r="E20" s="91">
        <f>SUM(E18/43560)</f>
        <v>170.97373737373738</v>
      </c>
      <c r="F20" s="246" t="s">
        <v>528</v>
      </c>
    </row>
    <row r="21" spans="3:9" ht="15.75">
      <c r="C21" s="81"/>
      <c r="D21" s="88"/>
      <c r="E21" s="91"/>
      <c r="F21" s="246"/>
      <c r="H21" s="105">
        <f>SUM(E21*43560)</f>
        <v>0</v>
      </c>
      <c r="I21" s="105"/>
    </row>
    <row r="22" spans="3:9" ht="12.75">
      <c r="C22" s="81"/>
      <c r="D22" s="88" t="s">
        <v>394</v>
      </c>
      <c r="E22" s="91">
        <f>SUM(E17/747)</f>
        <v>79760.27844712182</v>
      </c>
      <c r="F22" t="s">
        <v>395</v>
      </c>
      <c r="H22" s="247">
        <f>SUM(H21*J5)</f>
        <v>0</v>
      </c>
      <c r="I22" s="247"/>
    </row>
    <row r="23" spans="3:5" ht="12.75">
      <c r="C23" s="81"/>
      <c r="D23" s="88" t="s">
        <v>398</v>
      </c>
      <c r="E23" s="91">
        <v>300</v>
      </c>
    </row>
    <row r="24" spans="3:5" ht="12.75">
      <c r="C24" s="81"/>
      <c r="D24" s="88" t="s">
        <v>402</v>
      </c>
      <c r="E24" s="91">
        <f>SUM(E22/E23)</f>
        <v>265.8675948237394</v>
      </c>
    </row>
    <row r="25" spans="2:5" ht="13.5" thickBot="1">
      <c r="B25" s="35"/>
      <c r="C25" s="35"/>
      <c r="D25" s="222" t="s">
        <v>399</v>
      </c>
      <c r="E25" s="65">
        <f>SUM(E24/E15)</f>
        <v>3.019850009356422</v>
      </c>
    </row>
    <row r="26" spans="3:7" ht="12.75">
      <c r="C26" s="81"/>
      <c r="D26" s="88" t="s">
        <v>160</v>
      </c>
      <c r="E26" s="91">
        <v>15000</v>
      </c>
      <c r="F26" t="s">
        <v>159</v>
      </c>
      <c r="G26" s="27">
        <f>SUM(E26*E11)/1000*30</f>
        <v>45</v>
      </c>
    </row>
    <row r="27" spans="3:5" ht="12.75">
      <c r="C27" s="81"/>
      <c r="D27" s="88" t="s">
        <v>989</v>
      </c>
      <c r="E27" s="91">
        <f>SUM(E17/E26)</f>
        <v>3972.0618666666664</v>
      </c>
    </row>
    <row r="28" spans="4:7" ht="12.75">
      <c r="D28" s="88" t="s">
        <v>165</v>
      </c>
      <c r="E28" s="27">
        <f>SUM(E17*E12)</f>
        <v>5958.0928</v>
      </c>
      <c r="F28" t="s">
        <v>990</v>
      </c>
      <c r="G28" s="27">
        <f>SUM(E28*8)*365</f>
        <v>17397630.976</v>
      </c>
    </row>
    <row r="29" spans="4:6" ht="12.75">
      <c r="D29" s="88" t="s">
        <v>964</v>
      </c>
      <c r="E29" s="28">
        <f>SUM(E17*3.413)</f>
        <v>203349707.264</v>
      </c>
      <c r="F29" s="74" t="s">
        <v>965</v>
      </c>
    </row>
    <row r="30" spans="4:5" ht="12.75">
      <c r="D30" s="51" t="s">
        <v>90</v>
      </c>
      <c r="E30" s="28">
        <f>$M$5</f>
        <v>55402.816901408456</v>
      </c>
    </row>
    <row r="31" spans="4:11" ht="12.75">
      <c r="D31" s="51" t="s">
        <v>98</v>
      </c>
      <c r="E31" s="51">
        <f>'Old ROI'!$C$7</f>
        <v>142</v>
      </c>
      <c r="G31" s="372"/>
      <c r="H31" s="372"/>
      <c r="I31" s="372"/>
      <c r="J31" s="372"/>
      <c r="K31" s="372"/>
    </row>
    <row r="32" spans="1:11" ht="13.5" thickBot="1">
      <c r="A32" s="35"/>
      <c r="B32" s="35"/>
      <c r="C32" s="35"/>
      <c r="D32" s="64" t="s">
        <v>99</v>
      </c>
      <c r="E32" s="65">
        <f>SUM(E31*E30)</f>
        <v>7867200.000000001</v>
      </c>
      <c r="G32" s="372"/>
      <c r="H32" s="372"/>
      <c r="I32" s="372"/>
      <c r="J32" s="372"/>
      <c r="K32" s="372"/>
    </row>
    <row r="33" spans="3:6" ht="13.5" thickBot="1">
      <c r="C33" s="89"/>
      <c r="D33" s="90" t="s">
        <v>158</v>
      </c>
      <c r="E33" s="65">
        <f>SUM(E32*2)</f>
        <v>15734400.000000002</v>
      </c>
      <c r="F33" t="s">
        <v>403</v>
      </c>
    </row>
    <row r="34" spans="3:5" ht="12.75">
      <c r="C34" s="81"/>
      <c r="D34" s="88" t="s">
        <v>163</v>
      </c>
      <c r="E34" s="91"/>
    </row>
    <row r="35" spans="3:5" ht="12.75">
      <c r="C35" s="81"/>
      <c r="D35" s="88" t="s">
        <v>161</v>
      </c>
      <c r="E35" s="91"/>
    </row>
    <row r="36" spans="1:5" ht="12.75">
      <c r="A36" s="43" t="s">
        <v>100</v>
      </c>
      <c r="B36" s="51"/>
      <c r="C36" s="51"/>
      <c r="D36" s="51"/>
      <c r="E36" s="51"/>
    </row>
    <row r="37" spans="1:4" ht="12.75">
      <c r="A37" s="66" t="s">
        <v>37</v>
      </c>
      <c r="B37" s="30" t="s">
        <v>101</v>
      </c>
      <c r="C37" s="30" t="s">
        <v>39</v>
      </c>
      <c r="D37" s="30" t="s">
        <v>36</v>
      </c>
    </row>
    <row r="38" spans="1:5" ht="12.75">
      <c r="A38" s="51" t="s">
        <v>102</v>
      </c>
      <c r="B38" s="67">
        <v>150</v>
      </c>
      <c r="C38" s="51">
        <f>SUM(B38*1.609)</f>
        <v>241.35</v>
      </c>
      <c r="D38" s="68" t="s">
        <v>77</v>
      </c>
      <c r="E38" s="68"/>
    </row>
    <row r="39" spans="1:4" ht="12.75">
      <c r="A39" s="51" t="s">
        <v>103</v>
      </c>
      <c r="B39" s="69">
        <v>524</v>
      </c>
      <c r="C39" s="51">
        <f>SUM(B39*0.621)</f>
        <v>325.404</v>
      </c>
      <c r="D39" s="68" t="s">
        <v>20</v>
      </c>
    </row>
    <row r="40" spans="1:9" ht="12.75">
      <c r="A40" s="51"/>
      <c r="B40" s="70"/>
      <c r="C40" s="51"/>
      <c r="D40" s="68"/>
      <c r="I40" t="s">
        <v>232</v>
      </c>
    </row>
    <row r="41" spans="2:10" ht="12.75">
      <c r="B41" s="30" t="s">
        <v>104</v>
      </c>
      <c r="C41" s="30" t="s">
        <v>105</v>
      </c>
      <c r="D41" s="30" t="s">
        <v>106</v>
      </c>
      <c r="E41" s="30" t="s">
        <v>76</v>
      </c>
      <c r="F41" s="30" t="s">
        <v>107</v>
      </c>
      <c r="G41" s="30" t="s">
        <v>108</v>
      </c>
      <c r="H41" s="30" t="s">
        <v>109</v>
      </c>
      <c r="I41" s="146" t="s">
        <v>233</v>
      </c>
      <c r="J41" s="146"/>
    </row>
    <row r="42" spans="1:9" ht="12.75">
      <c r="A42" s="51" t="s">
        <v>110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111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1</v>
      </c>
    </row>
    <row r="45" ht="12.75">
      <c r="A45" t="s">
        <v>969</v>
      </c>
    </row>
    <row r="46" ht="12.75">
      <c r="A46" t="s">
        <v>970</v>
      </c>
    </row>
    <row r="47" ht="12.75">
      <c r="A47" t="s">
        <v>962</v>
      </c>
    </row>
    <row r="48" ht="12.75">
      <c r="A48" t="s">
        <v>971</v>
      </c>
    </row>
    <row r="50" ht="12.75">
      <c r="A50" t="s">
        <v>973</v>
      </c>
    </row>
    <row r="51" ht="12.75">
      <c r="A51" t="s">
        <v>974</v>
      </c>
    </row>
    <row r="52" ht="12.75">
      <c r="A52" t="s">
        <v>975</v>
      </c>
    </row>
    <row r="53" ht="12.75">
      <c r="A53" t="s">
        <v>976</v>
      </c>
    </row>
    <row r="54" ht="12.75">
      <c r="A54" t="s">
        <v>977</v>
      </c>
    </row>
    <row r="55" ht="12.75">
      <c r="A55" t="s">
        <v>978</v>
      </c>
    </row>
    <row r="56" ht="12.75">
      <c r="A56" t="s">
        <v>979</v>
      </c>
    </row>
    <row r="57" ht="12.75">
      <c r="A57" t="s">
        <v>962</v>
      </c>
    </row>
    <row r="58" ht="12.75">
      <c r="A58" t="s">
        <v>972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5">
      <selection activeCell="I5" sqref="I5:I6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  <col min="9" max="9" width="17.57421875" style="0" customWidth="1"/>
    <col min="10" max="10" width="16.421875" style="0" bestFit="1" customWidth="1"/>
  </cols>
  <sheetData>
    <row r="1" spans="1:3" ht="23.25">
      <c r="A1" s="53" t="s">
        <v>112</v>
      </c>
      <c r="B1" s="53"/>
      <c r="C1" s="53"/>
    </row>
    <row r="3" spans="1:6" ht="12.75">
      <c r="A3" t="s">
        <v>218</v>
      </c>
      <c r="F3" t="s">
        <v>1024</v>
      </c>
    </row>
    <row r="4" spans="1:10" ht="15">
      <c r="A4" s="72" t="s">
        <v>219</v>
      </c>
      <c r="B4" s="72" t="s">
        <v>37</v>
      </c>
      <c r="C4" s="72" t="s">
        <v>113</v>
      </c>
      <c r="D4" s="72" t="s">
        <v>114</v>
      </c>
      <c r="E4" s="72" t="s">
        <v>220</v>
      </c>
      <c r="F4" s="72" t="s">
        <v>254</v>
      </c>
      <c r="G4" s="72" t="s">
        <v>255</v>
      </c>
      <c r="H4" s="72" t="s">
        <v>221</v>
      </c>
      <c r="I4" s="72" t="s">
        <v>1025</v>
      </c>
      <c r="J4" s="72" t="s">
        <v>1023</v>
      </c>
    </row>
    <row r="5" spans="1:10" ht="15">
      <c r="A5" s="133">
        <f>SolarCells!$E$17</f>
        <v>59580928</v>
      </c>
      <c r="B5" s="19" t="s">
        <v>115</v>
      </c>
      <c r="C5" s="19">
        <v>4.2</v>
      </c>
      <c r="D5" s="19">
        <v>1</v>
      </c>
      <c r="E5" s="267">
        <f>SUM(A5/(C5*1000)*D5)</f>
        <v>14185.935238095239</v>
      </c>
      <c r="F5" s="267">
        <f>SUM(E5/12)</f>
        <v>1182.1612698412698</v>
      </c>
      <c r="G5" s="27">
        <v>2.5</v>
      </c>
      <c r="H5" s="27">
        <f>SUM(F5*G5)</f>
        <v>2955.4031746031746</v>
      </c>
      <c r="I5" s="27">
        <f>SUM(H5*10)</f>
        <v>29554.031746031746</v>
      </c>
      <c r="J5" s="230">
        <f>SUM(E5*C48)</f>
        <v>1153.3165348571429</v>
      </c>
    </row>
    <row r="6" spans="1:9" ht="15">
      <c r="A6" s="73">
        <f>SolarCells!$E$13</f>
        <v>209792</v>
      </c>
      <c r="B6" s="19" t="s">
        <v>115</v>
      </c>
      <c r="C6" s="19">
        <v>4.2</v>
      </c>
      <c r="D6" s="19">
        <v>1</v>
      </c>
      <c r="E6" s="19">
        <f>SUM(A6/(C6*1000)*D6)</f>
        <v>49.95047619047619</v>
      </c>
      <c r="F6" s="19">
        <f>SUM(E6/10)</f>
        <v>4.995047619047619</v>
      </c>
      <c r="G6" s="27">
        <v>2.5</v>
      </c>
      <c r="H6" s="27">
        <f>SUM(F6*G6)</f>
        <v>12.487619047619047</v>
      </c>
      <c r="I6" s="27">
        <f>SUM(H6*10)</f>
        <v>124.87619047619047</v>
      </c>
    </row>
    <row r="7" ht="15">
      <c r="A7" s="72" t="s">
        <v>222</v>
      </c>
    </row>
    <row r="8" ht="12.75">
      <c r="A8" t="s">
        <v>223</v>
      </c>
    </row>
    <row r="9" spans="1:4" ht="12.75">
      <c r="A9" s="30" t="s">
        <v>224</v>
      </c>
      <c r="B9" s="30" t="s">
        <v>225</v>
      </c>
      <c r="C9" s="30" t="s">
        <v>226</v>
      </c>
      <c r="D9" s="134" t="s">
        <v>227</v>
      </c>
    </row>
    <row r="10" spans="1:4" ht="12.75">
      <c r="A10">
        <v>100</v>
      </c>
      <c r="B10">
        <f>$E$5</f>
        <v>14185.935238095239</v>
      </c>
      <c r="C10">
        <f>SUM(B10/A10)</f>
        <v>141.85935238095237</v>
      </c>
      <c r="D10">
        <v>500</v>
      </c>
    </row>
    <row r="13" spans="1:13" ht="12.75">
      <c r="A13" s="74" t="s">
        <v>116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5" spans="2:6" ht="12.75">
      <c r="B15" s="5" t="s">
        <v>117</v>
      </c>
      <c r="C15" s="5"/>
      <c r="D15" s="5"/>
      <c r="E15" s="15"/>
      <c r="F15" s="15"/>
    </row>
    <row r="16" ht="12.75">
      <c r="B16" s="15" t="s">
        <v>228</v>
      </c>
    </row>
    <row r="19" ht="12.75">
      <c r="A19" t="s">
        <v>179</v>
      </c>
    </row>
    <row r="20" ht="12.75">
      <c r="A20" s="15" t="s">
        <v>184</v>
      </c>
    </row>
    <row r="21" spans="1:6" ht="15">
      <c r="A21" s="72" t="s">
        <v>37</v>
      </c>
      <c r="B21" s="72" t="s">
        <v>83</v>
      </c>
      <c r="C21" s="72" t="s">
        <v>181</v>
      </c>
      <c r="D21" s="72" t="s">
        <v>36</v>
      </c>
      <c r="E21" s="72" t="s">
        <v>183</v>
      </c>
      <c r="F21" s="72"/>
    </row>
    <row r="22" spans="2:6" ht="12.75">
      <c r="B22" t="s">
        <v>180</v>
      </c>
      <c r="C22">
        <v>6</v>
      </c>
      <c r="D22" t="s">
        <v>182</v>
      </c>
      <c r="E22" s="135">
        <v>0.5</v>
      </c>
      <c r="F22" s="135"/>
    </row>
    <row r="24" ht="12.75">
      <c r="A24" t="s">
        <v>236</v>
      </c>
    </row>
    <row r="25" ht="12.75">
      <c r="A25" t="s">
        <v>237</v>
      </c>
    </row>
    <row r="27" ht="12.75">
      <c r="A27" t="s">
        <v>238</v>
      </c>
    </row>
    <row r="28" ht="12.75">
      <c r="B28" t="s">
        <v>239</v>
      </c>
    </row>
    <row r="29" ht="12.75">
      <c r="A29" s="15" t="s">
        <v>984</v>
      </c>
    </row>
    <row r="31" spans="1:9" ht="12.75">
      <c r="A31" s="30" t="s">
        <v>980</v>
      </c>
      <c r="B31" s="30" t="s">
        <v>981</v>
      </c>
      <c r="C31" s="30" t="s">
        <v>991</v>
      </c>
      <c r="D31" s="30" t="s">
        <v>982</v>
      </c>
      <c r="E31" s="30" t="s">
        <v>983</v>
      </c>
      <c r="F31" s="30" t="s">
        <v>992</v>
      </c>
      <c r="G31" s="30" t="s">
        <v>993</v>
      </c>
      <c r="H31" s="30" t="s">
        <v>994</v>
      </c>
      <c r="I31" s="30"/>
    </row>
    <row r="32" spans="1:9" ht="12.75">
      <c r="A32" s="28">
        <f>SolarCells!$E$17</f>
        <v>59580928</v>
      </c>
      <c r="B32" s="229">
        <f>SUM(A32/1000)</f>
        <v>59580.928</v>
      </c>
      <c r="C32">
        <v>50.44</v>
      </c>
      <c r="D32" s="229">
        <f>SUM(B32/C32)</f>
        <v>1181.2237906423475</v>
      </c>
      <c r="E32" s="230">
        <f>SUM(D32)</f>
        <v>1181.2237906423475</v>
      </c>
      <c r="F32" s="230">
        <f>SUM(E32*10)</f>
        <v>11812.237906423474</v>
      </c>
      <c r="G32" s="230">
        <f>SUM(F32*30)</f>
        <v>354367.1371927042</v>
      </c>
      <c r="H32" s="230">
        <f>SUM(F32*365)</f>
        <v>4311466.835844568</v>
      </c>
      <c r="I32" s="230"/>
    </row>
    <row r="33" spans="1:6" ht="12.75">
      <c r="A33" t="s">
        <v>969</v>
      </c>
      <c r="F33" s="230">
        <f>SUM(F32/2)</f>
        <v>5906.118953211737</v>
      </c>
    </row>
    <row r="34" spans="1:7" ht="12.75">
      <c r="A34" t="s">
        <v>970</v>
      </c>
      <c r="F34" s="230">
        <f>SUM(F33/'Costs per kilometer'!A57)</f>
        <v>22.37166270155961</v>
      </c>
      <c r="G34" t="s">
        <v>996</v>
      </c>
    </row>
    <row r="35" ht="12.75">
      <c r="A35" t="s">
        <v>962</v>
      </c>
    </row>
    <row r="36" ht="12.75">
      <c r="A36" t="s">
        <v>971</v>
      </c>
    </row>
    <row r="38" ht="12.75">
      <c r="A38" t="s">
        <v>973</v>
      </c>
    </row>
    <row r="39" ht="12.75">
      <c r="A39" t="s">
        <v>974</v>
      </c>
    </row>
    <row r="40" ht="12.75">
      <c r="A40" t="s">
        <v>975</v>
      </c>
    </row>
    <row r="41" ht="12.75">
      <c r="A41" t="s">
        <v>976</v>
      </c>
    </row>
    <row r="42" ht="12.75">
      <c r="A42" t="s">
        <v>977</v>
      </c>
    </row>
    <row r="43" ht="12.75">
      <c r="A43" t="s">
        <v>978</v>
      </c>
    </row>
    <row r="44" ht="12.75">
      <c r="A44" t="s">
        <v>979</v>
      </c>
    </row>
    <row r="45" ht="12.75">
      <c r="A45" t="s">
        <v>962</v>
      </c>
    </row>
    <row r="46" ht="12.75">
      <c r="A46" t="s">
        <v>972</v>
      </c>
    </row>
    <row r="48" spans="1:4" ht="12.75">
      <c r="A48" t="s">
        <v>442</v>
      </c>
      <c r="C48">
        <v>0.0813</v>
      </c>
      <c r="D48" t="s">
        <v>443</v>
      </c>
    </row>
    <row r="50" ht="12.75">
      <c r="G50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9">
      <selection activeCell="A18" sqref="A18:D1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8" t="s">
        <v>603</v>
      </c>
    </row>
    <row r="4" ht="15">
      <c r="A4" s="19" t="s">
        <v>604</v>
      </c>
    </row>
    <row r="5" ht="12.75">
      <c r="C5" t="s">
        <v>605</v>
      </c>
    </row>
    <row r="6" spans="1:11" ht="12.75">
      <c r="A6" s="11" t="s">
        <v>606</v>
      </c>
      <c r="B6" s="11" t="s">
        <v>607</v>
      </c>
      <c r="C6" s="259" t="s">
        <v>608</v>
      </c>
      <c r="D6" s="11" t="s">
        <v>609</v>
      </c>
      <c r="E6" s="11" t="s">
        <v>610</v>
      </c>
      <c r="F6" s="11" t="s">
        <v>219</v>
      </c>
      <c r="G6" s="11" t="s">
        <v>611</v>
      </c>
      <c r="H6" s="11" t="s">
        <v>612</v>
      </c>
      <c r="I6" s="11" t="s">
        <v>613</v>
      </c>
      <c r="J6" s="11" t="s">
        <v>614</v>
      </c>
      <c r="K6" s="11" t="s">
        <v>615</v>
      </c>
    </row>
    <row r="7" spans="1:11" ht="12.75">
      <c r="A7" s="71">
        <v>150000</v>
      </c>
      <c r="B7">
        <v>8</v>
      </c>
      <c r="C7" s="260">
        <v>0.012</v>
      </c>
      <c r="D7" s="261">
        <f>SUM(C7/A7)</f>
        <v>8E-08</v>
      </c>
      <c r="E7">
        <f>SUM(C7*43560)</f>
        <v>522.72</v>
      </c>
      <c r="F7">
        <f>SUM(E7*B7)</f>
        <v>4181.76</v>
      </c>
      <c r="G7" s="260">
        <v>10</v>
      </c>
      <c r="H7">
        <f>SUM(G7*F7)</f>
        <v>41817.600000000006</v>
      </c>
      <c r="I7">
        <f>SUM(H7*365)</f>
        <v>15263424.000000002</v>
      </c>
      <c r="J7" s="262">
        <v>15000000</v>
      </c>
      <c r="K7" s="263">
        <f>SUM(I7/J7)</f>
        <v>1.0175616</v>
      </c>
    </row>
    <row r="13" ht="12.75">
      <c r="A13" t="s">
        <v>601</v>
      </c>
    </row>
    <row r="14" spans="1:6" ht="12.75">
      <c r="A14" s="11" t="s">
        <v>438</v>
      </c>
      <c r="B14" s="11"/>
      <c r="C14" s="11"/>
      <c r="D14" s="11"/>
      <c r="E14" s="11"/>
      <c r="F14" s="11"/>
    </row>
    <row r="15" spans="1:4" ht="12.75">
      <c r="A15" t="s">
        <v>428</v>
      </c>
      <c r="C15" s="264">
        <f>SUM(F7)</f>
        <v>4181.76</v>
      </c>
      <c r="D15" t="s">
        <v>219</v>
      </c>
    </row>
    <row r="16" spans="1:3" ht="12.75">
      <c r="A16" t="s">
        <v>439</v>
      </c>
      <c r="C16">
        <v>4200</v>
      </c>
    </row>
    <row r="17" spans="1:4" ht="12.75">
      <c r="A17" t="s">
        <v>440</v>
      </c>
      <c r="C17" s="230">
        <f>SUM(C15/C16)</f>
        <v>0.9956571428571429</v>
      </c>
      <c r="D17" t="s">
        <v>441</v>
      </c>
    </row>
    <row r="18" spans="1:4" ht="12.75">
      <c r="A18" t="s">
        <v>442</v>
      </c>
      <c r="C18">
        <v>0.0813</v>
      </c>
      <c r="D18" t="s">
        <v>443</v>
      </c>
    </row>
    <row r="19" spans="3:4" ht="12.75">
      <c r="C19" s="230">
        <f>SUM(C17*C18)</f>
        <v>0.08094692571428572</v>
      </c>
      <c r="D19" t="s">
        <v>444</v>
      </c>
    </row>
    <row r="20" spans="1:3" ht="12.75">
      <c r="A20" t="s">
        <v>432</v>
      </c>
      <c r="C20">
        <v>9</v>
      </c>
    </row>
    <row r="21" spans="3:4" ht="12.75">
      <c r="C21" s="230">
        <f>SUM(C19*C20)</f>
        <v>0.7285223314285715</v>
      </c>
      <c r="D21" t="s">
        <v>445</v>
      </c>
    </row>
    <row r="22" spans="1:4" ht="12.75">
      <c r="A22" t="s">
        <v>446</v>
      </c>
      <c r="C22">
        <v>3.785</v>
      </c>
      <c r="D22" t="s">
        <v>447</v>
      </c>
    </row>
    <row r="23" spans="3:7" ht="12.75">
      <c r="C23" s="265">
        <f>SUM(C21/C22)</f>
        <v>0.19247617739196074</v>
      </c>
      <c r="D23" s="25" t="s">
        <v>448</v>
      </c>
      <c r="G23" s="230"/>
    </row>
    <row r="24" spans="3:7" ht="12.75">
      <c r="C24" s="265">
        <f>SUM(C23/60)</f>
        <v>0.0032079362898660125</v>
      </c>
      <c r="D24" s="25" t="s">
        <v>616</v>
      </c>
      <c r="G24" s="230"/>
    </row>
    <row r="25" spans="3:4" ht="12.75">
      <c r="C25">
        <v>10</v>
      </c>
      <c r="D25" t="s">
        <v>449</v>
      </c>
    </row>
    <row r="26" spans="3:4" ht="12.75">
      <c r="C26" s="265">
        <f>SUM(C23*C25)</f>
        <v>1.9247617739196075</v>
      </c>
      <c r="D26" s="25" t="s">
        <v>450</v>
      </c>
    </row>
    <row r="27" spans="3:4" ht="12.75">
      <c r="C27">
        <v>365</v>
      </c>
      <c r="D27" t="s">
        <v>451</v>
      </c>
    </row>
    <row r="28" spans="3:4" ht="12.75">
      <c r="C28" s="265">
        <f>SUM(C26*C27)</f>
        <v>702.5380474806567</v>
      </c>
      <c r="D28" s="25" t="s">
        <v>452</v>
      </c>
    </row>
    <row r="30" ht="12.75">
      <c r="A30" t="s">
        <v>240</v>
      </c>
    </row>
    <row r="32" spans="1:2" ht="12.75">
      <c r="A32" t="s">
        <v>241</v>
      </c>
      <c r="B32" s="266">
        <v>0.112</v>
      </c>
    </row>
    <row r="33" spans="1:2" ht="12.75">
      <c r="A33" t="s">
        <v>242</v>
      </c>
      <c r="B33" s="266">
        <v>0.888</v>
      </c>
    </row>
    <row r="34" ht="12.75">
      <c r="B34" s="266">
        <f>SUM(B32:B33)</f>
        <v>1</v>
      </c>
    </row>
    <row r="36" ht="12.75">
      <c r="A36" t="s">
        <v>245</v>
      </c>
    </row>
    <row r="37" ht="12.75">
      <c r="A37" t="s">
        <v>246</v>
      </c>
    </row>
    <row r="38" ht="12.75">
      <c r="A38" t="s">
        <v>247</v>
      </c>
    </row>
    <row r="39" ht="12.75">
      <c r="A39" t="s">
        <v>248</v>
      </c>
    </row>
    <row r="41" ht="12.75">
      <c r="A41" t="s">
        <v>243</v>
      </c>
    </row>
    <row r="42" ht="12.75">
      <c r="A42" t="s">
        <v>244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D11">
      <selection activeCell="K34" sqref="K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155</v>
      </c>
      <c r="B1" s="29"/>
      <c r="C1" s="29"/>
    </row>
    <row r="2" spans="3:5" ht="18.75" customHeight="1">
      <c r="C2" s="41" t="s">
        <v>129</v>
      </c>
      <c r="D2" s="29"/>
      <c r="E2" s="29"/>
    </row>
    <row r="3" spans="3:4" ht="12.75">
      <c r="C3" s="30" t="s">
        <v>29</v>
      </c>
      <c r="D3" s="30" t="s">
        <v>30</v>
      </c>
    </row>
    <row r="4" spans="3:4" ht="12.75">
      <c r="C4" t="s">
        <v>31</v>
      </c>
      <c r="D4">
        <v>5280</v>
      </c>
    </row>
    <row r="5" spans="3:5" ht="12.75">
      <c r="C5" t="s">
        <v>32</v>
      </c>
      <c r="D5">
        <v>3278</v>
      </c>
      <c r="E5" t="s">
        <v>33</v>
      </c>
    </row>
    <row r="6" spans="3:4" ht="12.75">
      <c r="C6" t="s">
        <v>34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</row>
    <row r="11" spans="1:6" ht="12.75">
      <c r="A11">
        <v>3278</v>
      </c>
      <c r="B11" s="12" t="s">
        <v>41</v>
      </c>
      <c r="C11" t="s">
        <v>132</v>
      </c>
      <c r="D11" s="27">
        <v>26.9</v>
      </c>
      <c r="E11" s="27">
        <f>SUM(D11*A11)</f>
        <v>88178.2</v>
      </c>
      <c r="F11" t="s">
        <v>42</v>
      </c>
    </row>
    <row r="12" spans="1:6" ht="12.75">
      <c r="A12">
        <v>4</v>
      </c>
      <c r="B12" s="12" t="s">
        <v>131</v>
      </c>
      <c r="C12" t="s">
        <v>193</v>
      </c>
      <c r="D12" s="27">
        <f>SUM(E11)</f>
        <v>88178.2</v>
      </c>
      <c r="E12" s="27">
        <f>SUM(D12*A12)</f>
        <v>352712.8</v>
      </c>
      <c r="F12" t="s">
        <v>43</v>
      </c>
    </row>
    <row r="13" spans="1:6" ht="12.75">
      <c r="A13" s="81">
        <f>SUM(A11*4)</f>
        <v>13112</v>
      </c>
      <c r="B13" s="106" t="s">
        <v>41</v>
      </c>
      <c r="C13" s="81" t="s">
        <v>522</v>
      </c>
      <c r="D13" s="107">
        <v>60</v>
      </c>
      <c r="E13" s="107">
        <f>SUM(D13*A13)</f>
        <v>786720</v>
      </c>
      <c r="F13" s="81" t="s">
        <v>364</v>
      </c>
    </row>
    <row r="14" spans="1:6" ht="13.5" thickBot="1">
      <c r="A14" s="35">
        <f>SUM(D23*2)</f>
        <v>109.26666666666667</v>
      </c>
      <c r="B14" s="36" t="s">
        <v>44</v>
      </c>
      <c r="C14" s="35" t="s">
        <v>177</v>
      </c>
      <c r="D14" s="37">
        <v>1800</v>
      </c>
      <c r="E14" s="37">
        <f>SUM(D14*A14)</f>
        <v>196680</v>
      </c>
      <c r="F14" s="35" t="s">
        <v>365</v>
      </c>
    </row>
    <row r="15" spans="4:6" ht="12.75">
      <c r="D15" s="27"/>
      <c r="E15" s="27">
        <f>SUM(E12:E14)</f>
        <v>1336112.8</v>
      </c>
      <c r="F15" t="s">
        <v>45</v>
      </c>
    </row>
    <row r="16" ht="12.75">
      <c r="A16" s="15" t="s">
        <v>130</v>
      </c>
    </row>
    <row r="17" ht="13.5" thickBot="1"/>
    <row r="18" spans="3:4" ht="13.5" thickBot="1">
      <c r="C18" s="33" t="s">
        <v>361</v>
      </c>
      <c r="D18" s="33"/>
    </row>
    <row r="19" spans="3:4" ht="12.75">
      <c r="C19" t="s">
        <v>362</v>
      </c>
      <c r="D19" s="143">
        <v>60</v>
      </c>
    </row>
    <row r="20" spans="3:4" ht="12.75">
      <c r="C20" t="s">
        <v>133</v>
      </c>
      <c r="D20" s="27">
        <f>SUM(E15/D5)</f>
        <v>407.6</v>
      </c>
    </row>
    <row r="21" spans="3:4" ht="12.75">
      <c r="C21" t="s">
        <v>363</v>
      </c>
      <c r="D21" s="27">
        <f>SUM(D20*D19)</f>
        <v>24456</v>
      </c>
    </row>
    <row r="22" ht="13.5" thickBot="1">
      <c r="E22" s="81"/>
    </row>
    <row r="23" spans="3:5" ht="13.5" thickBot="1">
      <c r="C23" s="33" t="s">
        <v>139</v>
      </c>
      <c r="D23" s="132">
        <f>SUM(D5/D19)</f>
        <v>54.63333333333333</v>
      </c>
      <c r="E23" s="81"/>
    </row>
    <row r="24" spans="3:5" ht="12.75">
      <c r="C24" t="s">
        <v>140</v>
      </c>
      <c r="E24" s="81"/>
    </row>
    <row r="25" ht="12.75">
      <c r="C25" t="s">
        <v>141</v>
      </c>
    </row>
    <row r="26" spans="3:4" ht="12.75">
      <c r="C26" t="s">
        <v>170</v>
      </c>
      <c r="D26" s="144">
        <v>80</v>
      </c>
    </row>
    <row r="27" spans="3:4" ht="12.75">
      <c r="C27" t="s">
        <v>366</v>
      </c>
      <c r="D27" s="143">
        <v>4</v>
      </c>
    </row>
    <row r="28" spans="3:4" ht="12.75">
      <c r="C28" t="s">
        <v>171</v>
      </c>
      <c r="D28" s="79">
        <f>SUM(D26*D27)</f>
        <v>320</v>
      </c>
    </row>
    <row r="29" spans="3:4" ht="12.75">
      <c r="C29" t="s">
        <v>142</v>
      </c>
      <c r="D29" s="63">
        <f>SUM(D28*D23)</f>
        <v>17482.666666666668</v>
      </c>
    </row>
    <row r="30" spans="3:4" ht="12.75">
      <c r="C30" t="s">
        <v>172</v>
      </c>
      <c r="D30" s="27">
        <f>SUM(D26*(3278/3))</f>
        <v>87413.33333333334</v>
      </c>
    </row>
    <row r="31" spans="3:4" ht="12.75">
      <c r="C31" t="s">
        <v>169</v>
      </c>
      <c r="D31" s="27">
        <f>SUM(D26*(5280/3))</f>
        <v>140800</v>
      </c>
    </row>
    <row r="32" ht="13.5" thickBot="1"/>
    <row r="33" spans="3:11" ht="13.5" thickBot="1">
      <c r="C33" s="33" t="s">
        <v>588</v>
      </c>
      <c r="D33" s="33" t="s">
        <v>589</v>
      </c>
      <c r="E33" s="33" t="s">
        <v>590</v>
      </c>
      <c r="F33" s="33" t="s">
        <v>591</v>
      </c>
      <c r="G33" s="33" t="s">
        <v>592</v>
      </c>
      <c r="H33" s="33" t="s">
        <v>593</v>
      </c>
      <c r="I33" s="146" t="s">
        <v>252</v>
      </c>
      <c r="J33" s="146" t="s">
        <v>594</v>
      </c>
      <c r="K33" s="146" t="s">
        <v>595</v>
      </c>
    </row>
    <row r="34" spans="3:11" ht="12.75">
      <c r="C34" s="144">
        <v>1200</v>
      </c>
      <c r="D34">
        <v>30</v>
      </c>
      <c r="E34" s="253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'Costs per kilometer'!$A$54</f>
        <v>88.182</v>
      </c>
      <c r="J34" s="229">
        <f>SUM(I34*E34)</f>
        <v>232800.48</v>
      </c>
      <c r="K34" s="257">
        <f>SUM(J34*C34)</f>
        <v>279360576</v>
      </c>
    </row>
    <row r="35" spans="3:11" ht="12.75">
      <c r="C35" s="144">
        <v>1000</v>
      </c>
      <c r="D35">
        <v>30</v>
      </c>
      <c r="E35" s="253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'Costs per kilometer'!$A$54</f>
        <v>88.182</v>
      </c>
      <c r="J35" s="229">
        <f>SUM(I35*E35)</f>
        <v>232800.48</v>
      </c>
      <c r="K35" s="257">
        <f>SUM(J35*C35)</f>
        <v>232800480</v>
      </c>
    </row>
    <row r="36" spans="3:11" ht="12.75">
      <c r="C36" s="144">
        <v>800</v>
      </c>
      <c r="D36">
        <v>30</v>
      </c>
      <c r="E36" s="253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'Costs per kilometer'!$A$54</f>
        <v>88.182</v>
      </c>
      <c r="J36" s="229">
        <f>SUM(I36*E36)</f>
        <v>232800.48</v>
      </c>
      <c r="K36" s="257">
        <f>SUM(J36*C36)</f>
        <v>186240384</v>
      </c>
    </row>
    <row r="40" spans="2:3" ht="12.75">
      <c r="B40" t="s">
        <v>962</v>
      </c>
      <c r="C40" t="s">
        <v>963</v>
      </c>
    </row>
    <row r="41" spans="3:5" ht="93" customHeight="1">
      <c r="C41" s="373" t="s">
        <v>961</v>
      </c>
      <c r="D41" s="373"/>
      <c r="E41" s="373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2006-05-09T09:14:58Z</cp:lastPrinted>
  <dcterms:created xsi:type="dcterms:W3CDTF">1996-10-14T23:33:28Z</dcterms:created>
  <dcterms:modified xsi:type="dcterms:W3CDTF">2006-05-16T20:05:23Z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