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660" activeTab="1"/>
  </bookViews>
  <sheets>
    <sheet name="Calculators" sheetId="1" r:id="rId1"/>
    <sheet name="FlowRate" sheetId="2" r:id="rId2"/>
    <sheet name="Cost" sheetId="3" r:id="rId3"/>
    <sheet name="Sheet2" sheetId="4" r:id="rId4"/>
    <sheet name="Tables" sheetId="5" r:id="rId5"/>
  </sheets>
  <definedNames/>
  <calcPr fullCalcOnLoad="1"/>
</workbook>
</file>

<file path=xl/sharedStrings.xml><?xml version="1.0" encoding="utf-8"?>
<sst xmlns="http://schemas.openxmlformats.org/spreadsheetml/2006/main" count="217" uniqueCount="183">
  <si>
    <t>Rise</t>
  </si>
  <si>
    <t>Run</t>
  </si>
  <si>
    <t>Slope</t>
  </si>
  <si>
    <t>"Rise over Run"</t>
  </si>
  <si>
    <t>Foot fall / Foot run</t>
  </si>
  <si>
    <t>Fall / mile</t>
  </si>
  <si>
    <t>Six Inch Fall per mile makes this frequency</t>
  </si>
  <si>
    <t>Run / Feet</t>
  </si>
  <si>
    <t>Feet</t>
  </si>
  <si>
    <t>Required 20 Vertical feet</t>
  </si>
  <si>
    <t>Miles</t>
  </si>
  <si>
    <t>Interstate Traveler Company, LLC</t>
  </si>
  <si>
    <t>Mississippi Highlands Project</t>
  </si>
  <si>
    <t>The Mississippi Highlands Project</t>
  </si>
  <si>
    <t>Object:</t>
  </si>
  <si>
    <t>Create subterranean gravity fed aqueduct system designed to absorb 10% more water than has been raised in her largest Flood in the last 100 years using simple arithmetic, geometry, trigonometry and accepted flow rate calculations for water inside a pipe.</t>
  </si>
  <si>
    <t>Mississippi River - Basic Facts</t>
  </si>
  <si>
    <t>Begins:  Lake Itasca</t>
  </si>
  <si>
    <t>Ends: Gulf of Mexico</t>
  </si>
  <si>
    <t>Length: 2,381 Miles</t>
  </si>
  <si>
    <t>Flow Rate at Headwaters:  6 cubic feet per second</t>
  </si>
  <si>
    <t>Flow Rate at Delta:  600,000 cubic feet per second</t>
  </si>
  <si>
    <t>Speed at Headwaters  1.2 miles per hour</t>
  </si>
  <si>
    <t>Width at Headwaters:  20-30 feet</t>
  </si>
  <si>
    <t>Width at Delta:   Almost 1 mile</t>
  </si>
  <si>
    <t>Rise: 1,475 feet</t>
  </si>
  <si>
    <t>Run: 12,571,680 feet</t>
  </si>
  <si>
    <t>Sediment Load Daily: 436,000 Tons  / Day  </t>
  </si>
  <si>
    <t>Sediment Load Annualy: 159,000,000 Tons / Year</t>
  </si>
  <si>
    <t>Watershed Area:  1.8 Million Square Miles</t>
  </si>
  <si>
    <t>Flow Rates and Volumes of Conduit</t>
  </si>
  <si>
    <t>Length</t>
  </si>
  <si>
    <t>Type K Copper Tube</t>
  </si>
  <si>
    <t> Dia. inches</t>
  </si>
  <si>
    <t>Cubic ft/min</t>
  </si>
  <si>
    <t>Gallons/minute</t>
  </si>
  <si>
    <t>City</t>
  </si>
  <si>
    <t>Little Falls</t>
  </si>
  <si>
    <t>State/Region</t>
  </si>
  <si>
    <t>MN</t>
  </si>
  <si>
    <t>Country</t>
  </si>
  <si>
    <t>US [United States]</t>
  </si>
  <si>
    <t>Latitude</t>
  </si>
  <si>
    <t>Longitude</t>
  </si>
  <si>
    <t>Coordinates</t>
  </si>
  <si>
    <t>45.977188, -94.370804</t>
  </si>
  <si>
    <t>N45°58.63128, W094°22.24824</t>
  </si>
  <si>
    <t/>
  </si>
  <si>
    <t>Frequency</t>
  </si>
  <si>
    <t>Fall (ft)</t>
  </si>
  <si>
    <t xml:space="preserve"> Frequency/Miles</t>
  </si>
  <si>
    <t>1,475 actual - 1,112 from Little Falls</t>
  </si>
  <si>
    <t>Tunnel Boring Machines</t>
  </si>
  <si>
    <t>Quantity</t>
  </si>
  <si>
    <t>Cost</t>
  </si>
  <si>
    <t>Feet/Hour</t>
  </si>
  <si>
    <t>Feet/Year</t>
  </si>
  <si>
    <t>Amount</t>
  </si>
  <si>
    <t>Ft/hour/unit</t>
  </si>
  <si>
    <t>Miles/year</t>
  </si>
  <si>
    <t>Thickness</t>
  </si>
  <si>
    <t>http://www.mathgoodies.com/lessons/vol2/circle_area.html</t>
  </si>
  <si>
    <t>Area Reminder</t>
  </si>
  <si>
    <t>Volume cuFt</t>
  </si>
  <si>
    <t>cuYd</t>
  </si>
  <si>
    <t>Cost/Yd</t>
  </si>
  <si>
    <t>Cost/mile</t>
  </si>
  <si>
    <t>sqFt</t>
  </si>
  <si>
    <t>OD-Circumferance</t>
  </si>
  <si>
    <t>ID-Circumferance</t>
  </si>
  <si>
    <t>OD (in)</t>
  </si>
  <si>
    <t>ID (in)</t>
  </si>
  <si>
    <t>OD Area</t>
  </si>
  <si>
    <t>ID Area</t>
  </si>
  <si>
    <t>Cost / Mile</t>
  </si>
  <si>
    <t>I-Diameter</t>
  </si>
  <si>
    <t>Installation Cost Model</t>
  </si>
  <si>
    <t>QTY</t>
  </si>
  <si>
    <t>Description</t>
  </si>
  <si>
    <t>Flood Siphon "Parking Lot"</t>
  </si>
  <si>
    <t>Reservior / HydroPlant</t>
  </si>
  <si>
    <t>Tube</t>
  </si>
  <si>
    <t>A</t>
  </si>
  <si>
    <t>B</t>
  </si>
  <si>
    <t>Cost of Tube</t>
  </si>
  <si>
    <t>Cost of Install</t>
  </si>
  <si>
    <t>Tube A Miles</t>
  </si>
  <si>
    <t>Tube B Miles</t>
  </si>
  <si>
    <t>Total Miles Tube</t>
  </si>
  <si>
    <t>Total Miles Needed</t>
  </si>
  <si>
    <t>Years to Complete</t>
  </si>
  <si>
    <t>East and West</t>
  </si>
  <si>
    <t>Diameter Ft</t>
  </si>
  <si>
    <t>Length Ft</t>
  </si>
  <si>
    <t>CuFt/LnFt</t>
  </si>
  <si>
    <t>Radius Ft</t>
  </si>
  <si>
    <t>Area</t>
  </si>
  <si>
    <t>Volume CuFt</t>
  </si>
  <si>
    <t>CuYards/hr</t>
  </si>
  <si>
    <t>The Mississippi River at St. Louis crested at 49.6 feet (15.1 m) on August 1, nearly 20 feet (6 m) [8] above flood stage and had a peak flow rate of 1,080,000 ft³/s (30,600 m³/s). At this rate, a bowl the size of Busch Memorial Stadium would be filled to the brim in 69 seconds</t>
  </si>
  <si>
    <t xml:space="preserve">ft³/s </t>
  </si>
  <si>
    <t>m³/s</t>
  </si>
  <si>
    <t>1993 Flood</t>
  </si>
  <si>
    <t>Cost $15B</t>
  </si>
  <si>
    <t>CuMeters/Hr</t>
  </si>
  <si>
    <t>Answer: 1 yrd³ = 0.764554 m³</t>
  </si>
  <si>
    <t>CuMeters/Day</t>
  </si>
  <si>
    <t>Interstate Traveler Company</t>
  </si>
  <si>
    <t xml:space="preserve">Bench Mark 1993 Flood which measured 30,600 M^3/s </t>
  </si>
  <si>
    <t>CuM/Sec</t>
  </si>
  <si>
    <t>LnFt/sec</t>
  </si>
  <si>
    <t>CuFt / Sec</t>
  </si>
  <si>
    <t>CuFt / Min</t>
  </si>
  <si>
    <t>CuFt / Hr</t>
  </si>
  <si>
    <t xml:space="preserve">1 ft³ = 0.028316 m³ </t>
  </si>
  <si>
    <t>% Full</t>
  </si>
  <si>
    <t>Branching Rule (factor)</t>
  </si>
  <si>
    <t>Number of Reserviors</t>
  </si>
  <si>
    <t xml:space="preserve">Volume CuFt </t>
  </si>
  <si>
    <t>MPH</t>
  </si>
  <si>
    <t>FPH</t>
  </si>
  <si>
    <t>LnFt/Mn</t>
  </si>
  <si>
    <t>Pi</t>
  </si>
  <si>
    <t xml:space="preserve">Checksum </t>
  </si>
  <si>
    <t>factor?</t>
  </si>
  <si>
    <t xml:space="preserve">Length of Route </t>
  </si>
  <si>
    <t>Ratio</t>
  </si>
  <si>
    <t>Qty Siphon</t>
  </si>
  <si>
    <t>Frequency of Siphon in miles</t>
  </si>
  <si>
    <t>Actual Angle</t>
  </si>
  <si>
    <t>Spillway Angle</t>
  </si>
  <si>
    <t>Trig</t>
  </si>
  <si>
    <t>a</t>
  </si>
  <si>
    <t>b</t>
  </si>
  <si>
    <t>c</t>
  </si>
  <si>
    <t>Root</t>
  </si>
  <si>
    <t>Futhermore, Definition I gives exact equations that describe each of these relations:</t>
  </si>
  <si>
    <r>
      <t>sin(</t>
    </r>
    <r>
      <rPr>
        <sz val="10"/>
        <rFont val="Symbol"/>
        <family val="1"/>
      </rPr>
      <t>q</t>
    </r>
    <r>
      <rPr>
        <sz val="10"/>
        <rFont val="Arial"/>
        <family val="0"/>
      </rPr>
      <t>) = opposite / hypotenuse</t>
    </r>
  </si>
  <si>
    <r>
      <t>cos(</t>
    </r>
    <r>
      <rPr>
        <sz val="10"/>
        <rFont val="Symbol"/>
        <family val="1"/>
      </rPr>
      <t>q</t>
    </r>
    <r>
      <rPr>
        <sz val="10"/>
        <rFont val="Arial"/>
        <family val="0"/>
      </rPr>
      <t>) = adjacent / hypotenuse</t>
    </r>
  </si>
  <si>
    <t>Concrete Volume Analysis</t>
  </si>
  <si>
    <t>Total Volume of Excavated Material</t>
  </si>
  <si>
    <t>Total Volume</t>
  </si>
  <si>
    <t>River Geometry</t>
  </si>
  <si>
    <t>Reservoir Volume</t>
  </si>
  <si>
    <t>Acre = 43,560 SqFt</t>
  </si>
  <si>
    <t>Area in Acres</t>
  </si>
  <si>
    <t>Depth in Feet</t>
  </si>
  <si>
    <t>Cubic Feet</t>
  </si>
  <si>
    <t>Total Volume m3</t>
  </si>
  <si>
    <t>35.31467 CuFt/CuM</t>
  </si>
  <si>
    <t>Cubic Meters</t>
  </si>
  <si>
    <t>Reservoir Fill Rate</t>
  </si>
  <si>
    <t>Qty</t>
  </si>
  <si>
    <t>Acres</t>
  </si>
  <si>
    <t>Depth in Ft</t>
  </si>
  <si>
    <t>Volume m3</t>
  </si>
  <si>
    <t>Fill Rate CuM/Sec</t>
  </si>
  <si>
    <t>Seconds</t>
  </si>
  <si>
    <t>Hours</t>
  </si>
  <si>
    <t>Minutes</t>
  </si>
  <si>
    <t>Equal sides</t>
  </si>
  <si>
    <t>Acres Long</t>
  </si>
  <si>
    <t>Total Perimeter</t>
  </si>
  <si>
    <t>Fall Frequency / Reservoir Frequency Chart</t>
  </si>
  <si>
    <t>Target Reservoir Elevation "Fall"</t>
  </si>
  <si>
    <t>Fall / Reservoir</t>
  </si>
  <si>
    <t>Reservoir Levels</t>
  </si>
  <si>
    <t>Size in Acres</t>
  </si>
  <si>
    <t>Square Acres</t>
  </si>
  <si>
    <t>Lineal Feet</t>
  </si>
  <si>
    <t>Perimeter Wall</t>
  </si>
  <si>
    <t>Feet Wide</t>
  </si>
  <si>
    <t>Wall Volume</t>
  </si>
  <si>
    <t>Total Side Length</t>
  </si>
  <si>
    <t>Side Length / acre</t>
  </si>
  <si>
    <t>Spillway Spoils</t>
  </si>
  <si>
    <t>Total Spoils Production</t>
  </si>
  <si>
    <t>Total Reservoirs</t>
  </si>
  <si>
    <t>Total Wall Volume</t>
  </si>
  <si>
    <t>Cubic Meter</t>
  </si>
  <si>
    <t>Reservoir Geometry (earthworx)</t>
  </si>
  <si>
    <t>Cubic Meters Water</t>
  </si>
  <si>
    <t>Flow Rate CuMeters/Day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</si>
</sst>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"/>
    <numFmt numFmtId="175" formatCode="0.0000000"/>
    <numFmt numFmtId="176" formatCode="0.00000"/>
    <numFmt numFmtId="177" formatCode="0.0000"/>
    <numFmt numFmtId="178" formatCode="0.000"/>
    <numFmt numFmtId="179" formatCode="&quot;$&quot;#,##0.00"/>
    <numFmt numFmtId="180" formatCode="0.0"/>
    <numFmt numFmtId="181" formatCode="0.00000000"/>
    <numFmt numFmtId="182" formatCode="_(* #,##0.000000_);_(* \(#,##0.000000\);_(* &quot;-&quot;??????_);_(@_)"/>
    <numFmt numFmtId="183" formatCode="_(* #,##0.00000_);_(* \(#,##0.00000\);_(* &quot;-&quot;?????_);_(@_)"/>
    <numFmt numFmtId="184" formatCode="_(* #,##0.000_);_(* \(#,##0.000\);_(* &quot;-&quot;?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i/>
      <sz val="10"/>
      <name val="Arial"/>
      <family val="0"/>
    </font>
    <font>
      <sz val="11"/>
      <name val="Arial"/>
      <family val="0"/>
    </font>
    <font>
      <b/>
      <sz val="12"/>
      <name val="Verdana"/>
      <family val="2"/>
    </font>
    <font>
      <b/>
      <sz val="11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170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0" borderId="4" xfId="0" applyBorder="1" applyAlignment="1">
      <alignment/>
    </xf>
    <xf numFmtId="0" fontId="0" fillId="3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9" fontId="0" fillId="2" borderId="0" xfId="0" applyNumberFormat="1" applyFill="1" applyAlignment="1">
      <alignment horizontal="center"/>
    </xf>
    <xf numFmtId="43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4" borderId="0" xfId="0" applyFill="1" applyAlignment="1">
      <alignment/>
    </xf>
    <xf numFmtId="9" fontId="0" fillId="4" borderId="0" xfId="20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8" fontId="0" fillId="0" borderId="0" xfId="15" applyNumberFormat="1" applyAlignment="1">
      <alignment/>
    </xf>
    <xf numFmtId="175" fontId="0" fillId="4" borderId="0" xfId="0" applyNumberFormat="1" applyFill="1" applyAlignment="1">
      <alignment/>
    </xf>
    <xf numFmtId="0" fontId="0" fillId="0" borderId="6" xfId="0" applyFill="1" applyBorder="1" applyAlignment="1">
      <alignment horizontal="center"/>
    </xf>
    <xf numFmtId="186" fontId="0" fillId="0" borderId="0" xfId="15" applyNumberFormat="1" applyAlignment="1">
      <alignment/>
    </xf>
    <xf numFmtId="9" fontId="0" fillId="0" borderId="0" xfId="20" applyFont="1" applyAlignment="1">
      <alignment/>
    </xf>
    <xf numFmtId="43" fontId="0" fillId="0" borderId="4" xfId="0" applyNumberFormat="1" applyBorder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19" applyAlignment="1">
      <alignment/>
    </xf>
    <xf numFmtId="43" fontId="0" fillId="4" borderId="0" xfId="0" applyNumberFormat="1" applyFill="1" applyAlignment="1">
      <alignment/>
    </xf>
    <xf numFmtId="0" fontId="9" fillId="0" borderId="0" xfId="0" applyFont="1" applyAlignment="1">
      <alignment/>
    </xf>
    <xf numFmtId="180" fontId="0" fillId="4" borderId="0" xfId="0" applyNumberFormat="1" applyFill="1" applyAlignment="1">
      <alignment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/>
    </xf>
    <xf numFmtId="0" fontId="0" fillId="3" borderId="7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27</xdr:row>
      <xdr:rowOff>0</xdr:rowOff>
    </xdr:from>
    <xdr:to>
      <xdr:col>9</xdr:col>
      <xdr:colOff>1095375</xdr:colOff>
      <xdr:row>31</xdr:row>
      <xdr:rowOff>9525</xdr:rowOff>
    </xdr:to>
    <xdr:pic>
      <xdr:nvPicPr>
        <xdr:cNvPr id="1" name="Picture 56" descr="triangl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445770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1104900</xdr:colOff>
      <xdr:row>27</xdr:row>
      <xdr:rowOff>0</xdr:rowOff>
    </xdr:from>
    <xdr:to>
      <xdr:col>11</xdr:col>
      <xdr:colOff>200025</xdr:colOff>
      <xdr:row>31</xdr:row>
      <xdr:rowOff>9525</xdr:rowOff>
    </xdr:to>
    <xdr:pic>
      <xdr:nvPicPr>
        <xdr:cNvPr id="2" name="Picture 57" descr="triangl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445770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th2.org/math/algebra/functions/sincos/definition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B15" sqref="B15"/>
    </sheetView>
  </sheetViews>
  <sheetFormatPr defaultColWidth="9.140625" defaultRowHeight="12.75"/>
  <cols>
    <col min="1" max="1" width="19.57421875" style="0" customWidth="1"/>
    <col min="2" max="2" width="16.7109375" style="0" customWidth="1"/>
    <col min="3" max="3" width="16.28125" style="0" bestFit="1" customWidth="1"/>
    <col min="4" max="4" width="14.8515625" style="0" customWidth="1"/>
    <col min="5" max="5" width="11.57421875" style="0" bestFit="1" customWidth="1"/>
    <col min="6" max="6" width="13.57421875" style="0" bestFit="1" customWidth="1"/>
    <col min="8" max="8" width="19.7109375" style="0" bestFit="1" customWidth="1"/>
    <col min="9" max="9" width="12.28125" style="0" customWidth="1"/>
    <col min="10" max="10" width="19.8515625" style="0" customWidth="1"/>
    <col min="11" max="12" width="10.28125" style="0" bestFit="1" customWidth="1"/>
    <col min="13" max="13" width="11.421875" style="0" customWidth="1"/>
    <col min="14" max="14" width="11.421875" style="0" bestFit="1" customWidth="1"/>
    <col min="15" max="15" width="10.28125" style="0" bestFit="1" customWidth="1"/>
  </cols>
  <sheetData>
    <row r="1" ht="12.75">
      <c r="A1" t="s">
        <v>11</v>
      </c>
    </row>
    <row r="2" ht="12.75">
      <c r="A2" t="s">
        <v>12</v>
      </c>
    </row>
    <row r="4" ht="15">
      <c r="A4" s="41" t="s">
        <v>142</v>
      </c>
    </row>
    <row r="5" spans="1:13" ht="12.75">
      <c r="A5" t="s">
        <v>0</v>
      </c>
      <c r="B5" s="2">
        <v>1475</v>
      </c>
      <c r="C5" t="s">
        <v>8</v>
      </c>
      <c r="D5" t="s">
        <v>51</v>
      </c>
      <c r="G5" t="s">
        <v>131</v>
      </c>
      <c r="I5" t="s">
        <v>135</v>
      </c>
      <c r="M5" s="19"/>
    </row>
    <row r="6" spans="1:13" ht="12.75">
      <c r="A6" t="s">
        <v>1</v>
      </c>
      <c r="B6" s="2">
        <v>12571680</v>
      </c>
      <c r="C6" t="s">
        <v>8</v>
      </c>
      <c r="D6" s="15">
        <f>SUM(B6/5280)</f>
        <v>2381</v>
      </c>
      <c r="E6" t="s">
        <v>10</v>
      </c>
      <c r="G6" t="s">
        <v>132</v>
      </c>
      <c r="H6" s="15">
        <f>SUM(B5^2)</f>
        <v>2175625</v>
      </c>
      <c r="I6">
        <f>SQRT(H6)</f>
        <v>1475</v>
      </c>
      <c r="M6" s="4"/>
    </row>
    <row r="7" spans="1:10" ht="12.75">
      <c r="A7" t="s">
        <v>2</v>
      </c>
      <c r="B7">
        <f>SUM(B5/B6)</f>
        <v>0.00011732719891056724</v>
      </c>
      <c r="C7" t="s">
        <v>4</v>
      </c>
      <c r="D7" t="s">
        <v>3</v>
      </c>
      <c r="F7" t="s">
        <v>129</v>
      </c>
      <c r="G7" t="s">
        <v>133</v>
      </c>
      <c r="H7" s="15">
        <f>SUM(B6^2)</f>
        <v>158047138022400</v>
      </c>
      <c r="I7">
        <f>SQRT(H7)</f>
        <v>12571680</v>
      </c>
      <c r="J7">
        <f>SUM(I6/I8)</f>
        <v>0.0001173271981030234</v>
      </c>
    </row>
    <row r="8" spans="1:10" ht="12.75">
      <c r="A8" t="s">
        <v>5</v>
      </c>
      <c r="B8">
        <f>SUM(B7*5280)</f>
        <v>0.6194876102477951</v>
      </c>
      <c r="F8" t="s">
        <v>130</v>
      </c>
      <c r="G8" t="s">
        <v>134</v>
      </c>
      <c r="H8" s="15">
        <f>SUM(H6+H7)</f>
        <v>158047140198025</v>
      </c>
      <c r="I8">
        <f>SQRT(H8)</f>
        <v>12571680.08652881</v>
      </c>
      <c r="J8">
        <f>SUM(I7/I8)</f>
        <v>0.9999999931171643</v>
      </c>
    </row>
    <row r="9" spans="1:13" ht="12.75">
      <c r="A9" t="s">
        <v>165</v>
      </c>
      <c r="B9">
        <v>33</v>
      </c>
      <c r="C9" t="s">
        <v>8</v>
      </c>
      <c r="J9">
        <f>SUM(J8+J7)</f>
        <v>1.0001173203152673</v>
      </c>
      <c r="M9" s="4"/>
    </row>
    <row r="10" spans="1:3" ht="12.75">
      <c r="A10">
        <v>66</v>
      </c>
      <c r="B10" s="4">
        <f>SUM(B5/B9)</f>
        <v>44.696969696969695</v>
      </c>
      <c r="C10" t="s">
        <v>166</v>
      </c>
    </row>
    <row r="11" ht="12.75">
      <c r="B11" s="4"/>
    </row>
    <row r="12" ht="12.75">
      <c r="B12" s="4"/>
    </row>
    <row r="13" spans="1:3" ht="15">
      <c r="A13" s="41" t="s">
        <v>143</v>
      </c>
      <c r="B13" s="4"/>
      <c r="C13" t="s">
        <v>144</v>
      </c>
    </row>
    <row r="14" spans="1:2" ht="12.75">
      <c r="A14" t="s">
        <v>145</v>
      </c>
      <c r="B14" s="43">
        <v>1024</v>
      </c>
    </row>
    <row r="15" spans="1:2" ht="12.75">
      <c r="A15" t="s">
        <v>146</v>
      </c>
      <c r="B15" s="43">
        <v>30</v>
      </c>
    </row>
    <row r="16" spans="1:3" ht="12.75">
      <c r="A16" t="s">
        <v>141</v>
      </c>
      <c r="B16" s="4">
        <f>SUM(B14*43560*B15)</f>
        <v>1338163200</v>
      </c>
      <c r="C16" t="s">
        <v>147</v>
      </c>
    </row>
    <row r="17" spans="1:4" ht="12.75">
      <c r="A17" t="s">
        <v>148</v>
      </c>
      <c r="B17" s="4">
        <f>SUM(B16/35.31467)</f>
        <v>37892558.53162439</v>
      </c>
      <c r="C17" t="s">
        <v>150</v>
      </c>
      <c r="D17" t="s">
        <v>149</v>
      </c>
    </row>
    <row r="18" spans="1:2" ht="12.75">
      <c r="A18" t="s">
        <v>177</v>
      </c>
      <c r="B18" s="4">
        <f>B31</f>
        <v>80</v>
      </c>
    </row>
    <row r="19" spans="1:3" ht="12.75">
      <c r="A19" t="s">
        <v>141</v>
      </c>
      <c r="B19" s="4">
        <f>SUM(B18*B17)</f>
        <v>3031404682.529951</v>
      </c>
      <c r="C19" t="s">
        <v>181</v>
      </c>
    </row>
    <row r="20" spans="2:3" ht="12.75">
      <c r="B20" s="4">
        <f>FlowRate!$S$8</f>
        <v>1968515480.780769</v>
      </c>
      <c r="C20" t="s">
        <v>182</v>
      </c>
    </row>
    <row r="21" ht="12.75">
      <c r="B21" s="4"/>
    </row>
    <row r="22" spans="1:2" ht="15">
      <c r="A22" s="41" t="s">
        <v>180</v>
      </c>
      <c r="B22" s="4"/>
    </row>
    <row r="23" spans="1:3" ht="12.75">
      <c r="A23" t="s">
        <v>167</v>
      </c>
      <c r="B23" s="4">
        <f>SUM(B14)</f>
        <v>1024</v>
      </c>
      <c r="C23" t="s">
        <v>168</v>
      </c>
    </row>
    <row r="24" spans="1:3" ht="12.75">
      <c r="A24" t="s">
        <v>160</v>
      </c>
      <c r="B24" s="4">
        <f>SQRT(B23)</f>
        <v>32</v>
      </c>
      <c r="C24" t="s">
        <v>161</v>
      </c>
    </row>
    <row r="25" spans="1:3" ht="12.75">
      <c r="A25" t="s">
        <v>174</v>
      </c>
      <c r="B25" s="4">
        <v>208.7</v>
      </c>
      <c r="C25" t="s">
        <v>8</v>
      </c>
    </row>
    <row r="26" spans="1:3" ht="12.75">
      <c r="A26" t="s">
        <v>173</v>
      </c>
      <c r="B26" s="4">
        <f>SUM(B25*B24)</f>
        <v>6678.4</v>
      </c>
      <c r="C26" t="s">
        <v>169</v>
      </c>
    </row>
    <row r="27" spans="1:3" ht="12.75">
      <c r="A27" t="s">
        <v>162</v>
      </c>
      <c r="B27" s="4">
        <f>SUM(B26*4)</f>
        <v>26713.6</v>
      </c>
      <c r="C27" t="s">
        <v>169</v>
      </c>
    </row>
    <row r="28" spans="1:13" ht="12.75">
      <c r="A28" t="s">
        <v>170</v>
      </c>
      <c r="B28" s="4">
        <v>30</v>
      </c>
      <c r="C28" t="s">
        <v>171</v>
      </c>
      <c r="M28" s="15"/>
    </row>
    <row r="29" spans="1:3" ht="12.75">
      <c r="A29" t="s">
        <v>172</v>
      </c>
      <c r="B29" s="4">
        <f>SUM(B27*B28*B15)</f>
        <v>24042240</v>
      </c>
      <c r="C29" t="s">
        <v>147</v>
      </c>
    </row>
    <row r="30" spans="1:3" ht="12.75">
      <c r="A30" t="s">
        <v>172</v>
      </c>
      <c r="B30" s="4">
        <f>SUM(B29/35.31467)</f>
        <v>680800.358604512</v>
      </c>
      <c r="C30" t="s">
        <v>150</v>
      </c>
    </row>
    <row r="31" spans="1:2" ht="12.75">
      <c r="A31" t="s">
        <v>177</v>
      </c>
      <c r="B31" s="4">
        <f>FlowRate!$A$25</f>
        <v>80</v>
      </c>
    </row>
    <row r="32" spans="1:3" ht="12.75">
      <c r="A32" t="s">
        <v>178</v>
      </c>
      <c r="B32" s="4">
        <f>SUM(B31*B30)</f>
        <v>54464028.68836096</v>
      </c>
      <c r="C32" t="s">
        <v>179</v>
      </c>
    </row>
    <row r="33" ht="12.75">
      <c r="B33" s="4"/>
    </row>
    <row r="34" ht="12.75">
      <c r="B34" s="4"/>
    </row>
    <row r="35" spans="1:2" ht="15">
      <c r="A35" s="41" t="s">
        <v>175</v>
      </c>
      <c r="B35" s="4"/>
    </row>
    <row r="36" spans="1:2" ht="12.75">
      <c r="A36" t="s">
        <v>176</v>
      </c>
      <c r="B36" s="4"/>
    </row>
    <row r="37" spans="1:3" ht="12.75">
      <c r="A37" s="4">
        <f>FlowRate!G11</f>
        <v>6287242971.428572</v>
      </c>
      <c r="B37" s="4" t="str">
        <f>FlowRate!H11</f>
        <v>Total Volume</v>
      </c>
      <c r="C37" t="s">
        <v>147</v>
      </c>
    </row>
    <row r="38" spans="1:2" ht="12.75">
      <c r="A38">
        <f>SUM(A37/B32)</f>
        <v>115.43844851073538</v>
      </c>
      <c r="B38" s="4"/>
    </row>
    <row r="39" ht="12.75">
      <c r="B39" s="4"/>
    </row>
    <row r="40" ht="12.75">
      <c r="B40" s="4"/>
    </row>
    <row r="41" spans="1:10" ht="15">
      <c r="A41" s="41" t="s">
        <v>163</v>
      </c>
      <c r="D41" t="s">
        <v>164</v>
      </c>
      <c r="G41" t="s">
        <v>9</v>
      </c>
      <c r="J41" s="42" t="s">
        <v>136</v>
      </c>
    </row>
    <row r="42" spans="1:6" ht="12.75">
      <c r="A42" s="3" t="s">
        <v>50</v>
      </c>
      <c r="B42" s="3" t="s">
        <v>7</v>
      </c>
      <c r="C42" s="3" t="s">
        <v>10</v>
      </c>
      <c r="D42" s="3" t="s">
        <v>49</v>
      </c>
      <c r="E42" s="3" t="s">
        <v>48</v>
      </c>
      <c r="F42" s="3" t="s">
        <v>91</v>
      </c>
    </row>
    <row r="43" spans="1:10" ht="12.75">
      <c r="A43">
        <v>0.00018939393</v>
      </c>
      <c r="B43" s="2">
        <f>SUM(A43*5280)</f>
        <v>0.9999999504</v>
      </c>
      <c r="C43" s="36">
        <f>SUM(B43/5280)</f>
        <v>0.00018939393</v>
      </c>
      <c r="D43" s="40">
        <f>SUM(B43*$B$7)</f>
        <v>0.00011732719309113817</v>
      </c>
      <c r="E43" s="18">
        <f>SUM($B$5/D43)</f>
        <v>12571680.62355536</v>
      </c>
      <c r="F43" s="5"/>
      <c r="J43" t="s">
        <v>137</v>
      </c>
    </row>
    <row r="44" spans="1:10" ht="12.75">
      <c r="A44">
        <v>1</v>
      </c>
      <c r="B44" s="2">
        <f>SUM(A44*5280)</f>
        <v>5280</v>
      </c>
      <c r="C44" s="2">
        <f>SUM(B44/5280)</f>
        <v>1</v>
      </c>
      <c r="D44" s="4">
        <f>SUM(B44*$B$7)</f>
        <v>0.6194876102477951</v>
      </c>
      <c r="E44" s="18">
        <f>SUM($B$5/D44)</f>
        <v>2381</v>
      </c>
      <c r="F44" s="18"/>
      <c r="G44" t="s">
        <v>6</v>
      </c>
      <c r="J44" t="s">
        <v>138</v>
      </c>
    </row>
    <row r="45" spans="1:6" ht="12.75">
      <c r="A45">
        <v>10</v>
      </c>
      <c r="B45" s="2">
        <f aca="true" t="shared" si="0" ref="B45:B54">SUM(A45*5280)</f>
        <v>52800</v>
      </c>
      <c r="C45" s="2">
        <f aca="true" t="shared" si="1" ref="C45:C54">SUM(B45/5280)</f>
        <v>10</v>
      </c>
      <c r="D45" s="4">
        <f>SUM(B45*$B$7)</f>
        <v>6.19487610247795</v>
      </c>
      <c r="E45" s="18">
        <f>SUM($B$5/D45)</f>
        <v>238.1</v>
      </c>
      <c r="F45" s="18"/>
    </row>
    <row r="46" spans="1:6" ht="12.75">
      <c r="A46">
        <v>33</v>
      </c>
      <c r="B46" s="2">
        <f t="shared" si="0"/>
        <v>174240</v>
      </c>
      <c r="C46" s="2">
        <f t="shared" si="1"/>
        <v>33</v>
      </c>
      <c r="D46" s="4">
        <f>SUM(B46*$B$7)</f>
        <v>20.443091138177238</v>
      </c>
      <c r="E46" s="18">
        <f>SUM($B$5/D46)</f>
        <v>72.15151515151514</v>
      </c>
      <c r="F46" s="18"/>
    </row>
    <row r="47" spans="1:6" ht="12.75">
      <c r="A47">
        <v>44</v>
      </c>
      <c r="B47" s="2">
        <f t="shared" si="0"/>
        <v>232320</v>
      </c>
      <c r="C47" s="2">
        <f t="shared" si="1"/>
        <v>44</v>
      </c>
      <c r="D47" s="4">
        <f aca="true" t="shared" si="2" ref="D47:D52">SUM(B47*$B$7)</f>
        <v>27.25745485090298</v>
      </c>
      <c r="E47" s="18">
        <f aca="true" t="shared" si="3" ref="E47:E54">SUM($B$5/D47)</f>
        <v>54.11363636363637</v>
      </c>
      <c r="F47" s="18"/>
    </row>
    <row r="48" spans="1:6" ht="12.75">
      <c r="A48">
        <v>53.27</v>
      </c>
      <c r="B48" s="2">
        <f t="shared" si="0"/>
        <v>281265.60000000003</v>
      </c>
      <c r="C48" s="2">
        <f t="shared" si="1"/>
        <v>53.27</v>
      </c>
      <c r="D48" s="4">
        <f t="shared" si="2"/>
        <v>33.000104997900046</v>
      </c>
      <c r="E48" s="18">
        <f t="shared" si="3"/>
        <v>44.696827482635626</v>
      </c>
      <c r="F48" s="18"/>
    </row>
    <row r="49" spans="1:6" ht="12.75">
      <c r="A49">
        <v>50</v>
      </c>
      <c r="B49" s="2">
        <f t="shared" si="0"/>
        <v>264000</v>
      </c>
      <c r="C49" s="2">
        <f t="shared" si="1"/>
        <v>50</v>
      </c>
      <c r="D49" s="4">
        <f t="shared" si="2"/>
        <v>30.97438051238975</v>
      </c>
      <c r="E49" s="18">
        <f t="shared" si="3"/>
        <v>47.620000000000005</v>
      </c>
      <c r="F49" s="18"/>
    </row>
    <row r="50" spans="1:6" ht="12.75">
      <c r="A50">
        <v>150</v>
      </c>
      <c r="B50" s="2">
        <f t="shared" si="0"/>
        <v>792000</v>
      </c>
      <c r="C50" s="2">
        <f t="shared" si="1"/>
        <v>150</v>
      </c>
      <c r="D50" s="4">
        <f t="shared" si="2"/>
        <v>92.92314153716926</v>
      </c>
      <c r="E50" s="18">
        <f t="shared" si="3"/>
        <v>15.873333333333333</v>
      </c>
      <c r="F50" s="18"/>
    </row>
    <row r="51" spans="1:6" ht="12.75">
      <c r="A51">
        <v>200</v>
      </c>
      <c r="B51" s="2">
        <f t="shared" si="0"/>
        <v>1056000</v>
      </c>
      <c r="C51" s="2">
        <f t="shared" si="1"/>
        <v>200</v>
      </c>
      <c r="D51" s="4">
        <f t="shared" si="2"/>
        <v>123.897522049559</v>
      </c>
      <c r="E51" s="18">
        <f t="shared" si="3"/>
        <v>11.905000000000001</v>
      </c>
      <c r="F51" s="18"/>
    </row>
    <row r="52" spans="1:6" ht="12.75">
      <c r="A52">
        <v>500</v>
      </c>
      <c r="B52" s="2">
        <f t="shared" si="0"/>
        <v>2640000</v>
      </c>
      <c r="C52" s="2">
        <f t="shared" si="1"/>
        <v>500</v>
      </c>
      <c r="D52" s="4">
        <f t="shared" si="2"/>
        <v>309.7438051238975</v>
      </c>
      <c r="E52" s="18">
        <f t="shared" si="3"/>
        <v>4.7620000000000005</v>
      </c>
      <c r="F52" s="18"/>
    </row>
    <row r="53" spans="1:6" ht="12.75">
      <c r="A53">
        <v>1000</v>
      </c>
      <c r="B53" s="2">
        <f t="shared" si="0"/>
        <v>5280000</v>
      </c>
      <c r="C53" s="2">
        <f t="shared" si="1"/>
        <v>1000</v>
      </c>
      <c r="D53" s="4">
        <f>SUM(B53*$B$7)</f>
        <v>619.487610247795</v>
      </c>
      <c r="E53" s="18">
        <f t="shared" si="3"/>
        <v>2.3810000000000002</v>
      </c>
      <c r="F53" s="18"/>
    </row>
    <row r="54" spans="1:6" ht="12.75">
      <c r="A54">
        <v>2381</v>
      </c>
      <c r="B54" s="2">
        <f t="shared" si="0"/>
        <v>12571680</v>
      </c>
      <c r="C54" s="2">
        <f t="shared" si="1"/>
        <v>2381</v>
      </c>
      <c r="D54" s="4">
        <f>SUM(B54*$B$7)</f>
        <v>1475</v>
      </c>
      <c r="E54" s="18">
        <f t="shared" si="3"/>
        <v>1</v>
      </c>
      <c r="F54" s="18"/>
    </row>
    <row r="55" spans="2:6" ht="12.75">
      <c r="B55" s="2"/>
      <c r="C55" s="2"/>
      <c r="D55" s="4"/>
      <c r="F55" s="16" t="s">
        <v>47</v>
      </c>
    </row>
    <row r="57" ht="15">
      <c r="B57" s="26" t="s">
        <v>105</v>
      </c>
    </row>
    <row r="59" spans="1:6" ht="14.25">
      <c r="A59" t="s">
        <v>102</v>
      </c>
      <c r="B59" s="1">
        <v>1080000</v>
      </c>
      <c r="C59" s="25" t="s">
        <v>100</v>
      </c>
      <c r="D59" s="1">
        <v>30600</v>
      </c>
      <c r="E59" t="s">
        <v>101</v>
      </c>
      <c r="F59" t="s">
        <v>103</v>
      </c>
    </row>
    <row r="61" spans="1:5" ht="12.75">
      <c r="A61" s="46" t="s">
        <v>99</v>
      </c>
      <c r="B61" s="46"/>
      <c r="C61" s="46"/>
      <c r="D61" s="46"/>
      <c r="E61" s="46"/>
    </row>
    <row r="62" spans="1:5" ht="12.75">
      <c r="A62" s="46"/>
      <c r="B62" s="46"/>
      <c r="C62" s="46"/>
      <c r="D62" s="46"/>
      <c r="E62" s="46"/>
    </row>
    <row r="63" spans="1:5" ht="12.75">
      <c r="A63" s="46"/>
      <c r="B63" s="46"/>
      <c r="C63" s="46"/>
      <c r="D63" s="46"/>
      <c r="E63" s="46"/>
    </row>
    <row r="64" spans="1:5" ht="12.75">
      <c r="A64" s="46"/>
      <c r="B64" s="46"/>
      <c r="C64" s="46"/>
      <c r="D64" s="46"/>
      <c r="E64" s="46"/>
    </row>
  </sheetData>
  <mergeCells count="1">
    <mergeCell ref="A61:E64"/>
  </mergeCells>
  <hyperlinks>
    <hyperlink ref="J41" r:id="rId1" display="http://math2.org/math/algebra/functions/sincos/definition.htm"/>
  </hyperlinks>
  <printOptions/>
  <pageMargins left="0.75" right="0.75" top="1" bottom="1" header="0.5" footer="0.5"/>
  <pageSetup fitToWidth="3" fitToHeight="1" horizontalDpi="600" verticalDpi="600" orientation="landscape" scale="5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2">
      <selection activeCell="G8" sqref="G8"/>
    </sheetView>
  </sheetViews>
  <sheetFormatPr defaultColWidth="9.140625" defaultRowHeight="12.75"/>
  <cols>
    <col min="2" max="2" width="10.7109375" style="0" bestFit="1" customWidth="1"/>
    <col min="3" max="3" width="11.7109375" style="0" bestFit="1" customWidth="1"/>
    <col min="4" max="4" width="17.140625" style="0" customWidth="1"/>
    <col min="5" max="5" width="20.140625" style="0" bestFit="1" customWidth="1"/>
    <col min="6" max="6" width="12.28125" style="0" bestFit="1" customWidth="1"/>
    <col min="7" max="7" width="16.57421875" style="0" bestFit="1" customWidth="1"/>
    <col min="8" max="8" width="10.28125" style="0" bestFit="1" customWidth="1"/>
    <col min="9" max="9" width="16.57421875" style="0" bestFit="1" customWidth="1"/>
    <col min="10" max="10" width="10.28125" style="0" bestFit="1" customWidth="1"/>
    <col min="11" max="11" width="12.140625" style="0" customWidth="1"/>
    <col min="12" max="12" width="12.8515625" style="0" bestFit="1" customWidth="1"/>
    <col min="13" max="14" width="14.00390625" style="0" bestFit="1" customWidth="1"/>
    <col min="15" max="15" width="19.00390625" style="0" customWidth="1"/>
    <col min="16" max="16" width="17.7109375" style="0" bestFit="1" customWidth="1"/>
    <col min="17" max="17" width="15.00390625" style="0" bestFit="1" customWidth="1"/>
    <col min="18" max="18" width="16.421875" style="0" customWidth="1"/>
    <col min="19" max="19" width="16.57421875" style="0" bestFit="1" customWidth="1"/>
    <col min="20" max="20" width="13.421875" style="0" customWidth="1"/>
    <col min="21" max="21" width="16.57421875" style="0" bestFit="1" customWidth="1"/>
  </cols>
  <sheetData>
    <row r="1" ht="18">
      <c r="A1" s="44" t="s">
        <v>107</v>
      </c>
    </row>
    <row r="2" ht="15">
      <c r="A2" s="41" t="s">
        <v>12</v>
      </c>
    </row>
    <row r="3" ht="14.25">
      <c r="A3" s="25" t="s">
        <v>108</v>
      </c>
    </row>
    <row r="4" spans="11:12" ht="12.75">
      <c r="K4">
        <v>1</v>
      </c>
      <c r="L4" t="s">
        <v>119</v>
      </c>
    </row>
    <row r="5" spans="5:15" ht="15">
      <c r="E5" s="28">
        <v>80</v>
      </c>
      <c r="F5" t="s">
        <v>117</v>
      </c>
      <c r="K5">
        <f>SUM(K4*5280)</f>
        <v>5280</v>
      </c>
      <c r="L5" t="s">
        <v>120</v>
      </c>
      <c r="O5" s="26" t="s">
        <v>114</v>
      </c>
    </row>
    <row r="6" spans="1:6" ht="15">
      <c r="A6" s="41" t="s">
        <v>30</v>
      </c>
      <c r="E6" s="28">
        <v>8</v>
      </c>
      <c r="F6" t="s">
        <v>116</v>
      </c>
    </row>
    <row r="7" spans="1:21" ht="12.75">
      <c r="A7" s="27" t="s">
        <v>53</v>
      </c>
      <c r="B7" s="27" t="s">
        <v>92</v>
      </c>
      <c r="C7" s="27" t="s">
        <v>95</v>
      </c>
      <c r="D7" s="27" t="s">
        <v>96</v>
      </c>
      <c r="E7" s="27" t="s">
        <v>10</v>
      </c>
      <c r="F7" s="27" t="s">
        <v>93</v>
      </c>
      <c r="G7" s="27" t="s">
        <v>97</v>
      </c>
      <c r="H7" s="27" t="s">
        <v>115</v>
      </c>
      <c r="I7" s="27" t="s">
        <v>118</v>
      </c>
      <c r="J7" s="27" t="s">
        <v>94</v>
      </c>
      <c r="K7" s="27" t="s">
        <v>110</v>
      </c>
      <c r="L7" s="27" t="s">
        <v>121</v>
      </c>
      <c r="M7" s="27" t="s">
        <v>119</v>
      </c>
      <c r="N7" s="27" t="s">
        <v>111</v>
      </c>
      <c r="O7" s="27" t="s">
        <v>112</v>
      </c>
      <c r="P7" s="27" t="s">
        <v>113</v>
      </c>
      <c r="Q7" s="27" t="s">
        <v>98</v>
      </c>
      <c r="R7" s="27" t="s">
        <v>104</v>
      </c>
      <c r="S7" s="27" t="s">
        <v>106</v>
      </c>
      <c r="T7" s="27" t="s">
        <v>109</v>
      </c>
      <c r="U7" s="35" t="s">
        <v>123</v>
      </c>
    </row>
    <row r="8" spans="1:21" ht="12.75">
      <c r="A8" s="30">
        <f>SUM(E5)</f>
        <v>80</v>
      </c>
      <c r="B8" s="28">
        <v>16</v>
      </c>
      <c r="C8">
        <f>SUM(B8/2)</f>
        <v>8</v>
      </c>
      <c r="D8" s="18">
        <f>SUM($H$13*C8^2)</f>
        <v>201.14285714285714</v>
      </c>
      <c r="E8" s="45">
        <v>50</v>
      </c>
      <c r="F8" s="33">
        <f>SUM(E8*5280)</f>
        <v>264000</v>
      </c>
      <c r="G8" s="4">
        <f>SUM(D8*F8)*A8</f>
        <v>4248137142.8571424</v>
      </c>
      <c r="H8" s="29">
        <v>0.5</v>
      </c>
      <c r="I8" s="24">
        <f>SUM(G8*H8)</f>
        <v>2124068571.4285712</v>
      </c>
      <c r="J8" s="24">
        <f>SUM((H13*(C8^2))*H8)*A8</f>
        <v>8045.714285714285</v>
      </c>
      <c r="K8" s="28">
        <v>100</v>
      </c>
      <c r="L8" s="31">
        <f>SUM(K8*60)</f>
        <v>6000</v>
      </c>
      <c r="M8" s="31">
        <f>SUM(L8/K5)</f>
        <v>1.1363636363636365</v>
      </c>
      <c r="N8" s="4">
        <f>SUM(J8*K8)</f>
        <v>804571.4285714285</v>
      </c>
      <c r="O8" s="4">
        <f>SUM(N8*60)</f>
        <v>48274285.71428571</v>
      </c>
      <c r="P8" s="4">
        <f>SUM(O8*60)</f>
        <v>2896457142.8571424</v>
      </c>
      <c r="Q8" s="4">
        <f>SUM(P8/26.999)</f>
        <v>107280163.81559104</v>
      </c>
      <c r="R8" s="4">
        <f>SUM(Q8*0.764554)</f>
        <v>82021478.36586538</v>
      </c>
      <c r="S8" s="4">
        <f>SUM(R8*24)</f>
        <v>1968515480.780769</v>
      </c>
      <c r="T8" s="4">
        <f>SUM(N8*0.028316)</f>
        <v>22782.24457142857</v>
      </c>
      <c r="U8" s="4">
        <f>SUM(T8*60*60*24)</f>
        <v>1968385930.9714286</v>
      </c>
    </row>
    <row r="9" spans="1:21" ht="12.75">
      <c r="A9" s="30">
        <f>SUM(A8*E6)</f>
        <v>640</v>
      </c>
      <c r="B9" s="28">
        <v>8</v>
      </c>
      <c r="C9">
        <f>SUM(B9/2)</f>
        <v>4</v>
      </c>
      <c r="D9" s="18">
        <f>SUM($H$13*C9^2)</f>
        <v>50.285714285714285</v>
      </c>
      <c r="E9" s="45">
        <v>12</v>
      </c>
      <c r="F9" s="33">
        <f>SUM(E9*5280)</f>
        <v>63360</v>
      </c>
      <c r="G9" s="4">
        <f>SUM(D9*F9)*A9</f>
        <v>2039105828.5714288</v>
      </c>
      <c r="H9" s="29">
        <v>0.5</v>
      </c>
      <c r="I9" s="24">
        <f>SUM(G9*H9)</f>
        <v>1019552914.2857144</v>
      </c>
      <c r="J9" s="24">
        <f>SUM((H13*(C9^2))*H9)*A9</f>
        <v>16091.42857142857</v>
      </c>
      <c r="K9" s="28">
        <v>100</v>
      </c>
      <c r="L9" s="31">
        <f>SUM(K9*60)</f>
        <v>6000</v>
      </c>
      <c r="M9" s="31">
        <f>SUM(L9/K5)</f>
        <v>1.1363636363636365</v>
      </c>
      <c r="N9" s="4">
        <f>SUM(J9*K9)</f>
        <v>1609142.857142857</v>
      </c>
      <c r="O9" s="4">
        <f>SUM(N9*60)</f>
        <v>96548571.42857142</v>
      </c>
      <c r="P9" s="4">
        <f>SUM(O9*60)</f>
        <v>5792914285.714285</v>
      </c>
      <c r="Q9" s="4">
        <f>SUM(P9/26.999)</f>
        <v>214560327.63118207</v>
      </c>
      <c r="R9" s="4">
        <f>SUM(Q9*0.764554)</f>
        <v>164042956.73173076</v>
      </c>
      <c r="S9" s="4">
        <f>SUM(R9*24)</f>
        <v>3937030961.561538</v>
      </c>
      <c r="T9" s="4">
        <f>SUM(N9*0.028316)</f>
        <v>45564.48914285714</v>
      </c>
      <c r="U9" s="4">
        <f>SUM(T9*60*60*24)</f>
        <v>3936771861.9428573</v>
      </c>
    </row>
    <row r="10" spans="6:19" ht="12.75">
      <c r="F10" s="2"/>
      <c r="G10" s="38">
        <f>SUM(G8/G9)</f>
        <v>2.083333333333333</v>
      </c>
      <c r="H10" s="37" t="s">
        <v>126</v>
      </c>
      <c r="I10" s="2"/>
      <c r="J10" s="24"/>
      <c r="L10" s="4"/>
      <c r="M10" s="4"/>
      <c r="N10" s="4"/>
      <c r="O10" s="4"/>
      <c r="P10" s="4"/>
      <c r="Q10" s="4"/>
      <c r="R10" s="15"/>
      <c r="S10" s="4"/>
    </row>
    <row r="11" spans="7:21" ht="12.75">
      <c r="G11" s="4">
        <f>SUM(G8+G9)</f>
        <v>6287242971.428572</v>
      </c>
      <c r="H11" t="s">
        <v>141</v>
      </c>
      <c r="T11" s="1">
        <v>30600</v>
      </c>
      <c r="U11" t="s">
        <v>101</v>
      </c>
    </row>
    <row r="12" spans="1:6" ht="14.25">
      <c r="A12" t="s">
        <v>102</v>
      </c>
      <c r="B12" s="1">
        <v>1080000</v>
      </c>
      <c r="C12" s="25" t="s">
        <v>100</v>
      </c>
      <c r="D12" s="1">
        <v>30600</v>
      </c>
      <c r="E12" t="s">
        <v>101</v>
      </c>
      <c r="F12" t="s">
        <v>103</v>
      </c>
    </row>
    <row r="13" spans="7:8" ht="12.75">
      <c r="G13" s="32" t="s">
        <v>122</v>
      </c>
      <c r="H13">
        <f>SUM(22/7)</f>
        <v>3.142857142857143</v>
      </c>
    </row>
    <row r="14" spans="1:5" ht="12.75">
      <c r="A14" s="46" t="s">
        <v>99</v>
      </c>
      <c r="B14" s="46"/>
      <c r="C14" s="46"/>
      <c r="D14" s="46"/>
      <c r="E14" s="46"/>
    </row>
    <row r="15" spans="1:7" ht="12.75">
      <c r="A15" s="46"/>
      <c r="B15" s="46"/>
      <c r="C15" s="46"/>
      <c r="D15" s="46"/>
      <c r="E15" s="46"/>
      <c r="G15">
        <v>0.00018939393</v>
      </c>
    </row>
    <row r="16" spans="1:5" ht="12.75">
      <c r="A16" s="46"/>
      <c r="B16" s="46"/>
      <c r="C16" s="46"/>
      <c r="D16" s="46"/>
      <c r="E16" s="46"/>
    </row>
    <row r="17" spans="1:5" ht="12.75">
      <c r="A17" s="46"/>
      <c r="B17" s="46"/>
      <c r="C17" s="46"/>
      <c r="D17" s="46"/>
      <c r="E17" s="46"/>
    </row>
    <row r="19" spans="1:4" ht="12.75">
      <c r="A19" t="s">
        <v>125</v>
      </c>
      <c r="C19">
        <v>1192</v>
      </c>
      <c r="D19" t="s">
        <v>10</v>
      </c>
    </row>
    <row r="20" spans="3:4" ht="12.75">
      <c r="C20">
        <f>SUM(A9/2)</f>
        <v>320</v>
      </c>
      <c r="D20" t="s">
        <v>127</v>
      </c>
    </row>
    <row r="21" spans="3:4" ht="12.75">
      <c r="C21" s="39">
        <f>SUM(C19/C20)</f>
        <v>3.725</v>
      </c>
      <c r="D21" s="40" t="s">
        <v>128</v>
      </c>
    </row>
    <row r="23" ht="15">
      <c r="A23" s="41" t="s">
        <v>151</v>
      </c>
    </row>
    <row r="24" spans="1:8" ht="12.75">
      <c r="A24" s="27" t="s">
        <v>152</v>
      </c>
      <c r="B24" s="27" t="s">
        <v>153</v>
      </c>
      <c r="C24" s="27" t="s">
        <v>154</v>
      </c>
      <c r="D24" s="27" t="s">
        <v>155</v>
      </c>
      <c r="E24" s="27" t="s">
        <v>156</v>
      </c>
      <c r="F24" s="27" t="s">
        <v>157</v>
      </c>
      <c r="G24" s="27" t="s">
        <v>159</v>
      </c>
      <c r="H24" s="27" t="s">
        <v>158</v>
      </c>
    </row>
    <row r="25" spans="1:8" ht="12.75">
      <c r="A25">
        <f>SUM(A8)</f>
        <v>80</v>
      </c>
      <c r="B25" s="4">
        <f>Calculators!$B$14</f>
        <v>1024</v>
      </c>
      <c r="C25" s="4">
        <f>Calculators!$B$15</f>
        <v>30</v>
      </c>
      <c r="D25" s="19">
        <f>SUM((B25*43560*C25)/35.31467)*A25</f>
        <v>3031404682.529951</v>
      </c>
      <c r="E25" s="4">
        <f>$T$8</f>
        <v>22782.24457142857</v>
      </c>
      <c r="F25" s="18">
        <f>SUM(D25/E25)</f>
        <v>133059.9657564762</v>
      </c>
      <c r="G25" s="18">
        <f>SUM(F25/60)</f>
        <v>2217.6660959412698</v>
      </c>
      <c r="H25" s="18">
        <f>SUM(G25/60)</f>
        <v>36.96110159902116</v>
      </c>
    </row>
  </sheetData>
  <mergeCells count="1">
    <mergeCell ref="A14:E17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4"/>
  <sheetViews>
    <sheetView workbookViewId="0" topLeftCell="D2">
      <selection activeCell="A16" sqref="A16"/>
    </sheetView>
  </sheetViews>
  <sheetFormatPr defaultColWidth="9.140625" defaultRowHeight="12.75"/>
  <cols>
    <col min="2" max="2" width="10.28125" style="0" bestFit="1" customWidth="1"/>
    <col min="3" max="3" width="12.7109375" style="0" bestFit="1" customWidth="1"/>
    <col min="4" max="4" width="15.57421875" style="0" customWidth="1"/>
    <col min="5" max="5" width="18.00390625" style="0" customWidth="1"/>
    <col min="6" max="6" width="14.8515625" style="0" customWidth="1"/>
    <col min="7" max="7" width="14.00390625" style="0" bestFit="1" customWidth="1"/>
    <col min="8" max="8" width="16.421875" style="0" bestFit="1" customWidth="1"/>
    <col min="9" max="9" width="18.00390625" style="0" customWidth="1"/>
    <col min="10" max="10" width="17.00390625" style="0" customWidth="1"/>
    <col min="11" max="11" width="17.00390625" style="0" bestFit="1" customWidth="1"/>
    <col min="12" max="12" width="16.57421875" style="0" bestFit="1" customWidth="1"/>
    <col min="13" max="13" width="7.7109375" style="0" bestFit="1" customWidth="1"/>
    <col min="14" max="14" width="12.7109375" style="0" bestFit="1" customWidth="1"/>
  </cols>
  <sheetData>
    <row r="3" ht="15">
      <c r="A3" s="41" t="s">
        <v>52</v>
      </c>
    </row>
    <row r="4" spans="1:12" ht="12.75">
      <c r="A4" s="3" t="s">
        <v>81</v>
      </c>
      <c r="B4" s="3" t="s">
        <v>53</v>
      </c>
      <c r="C4" s="3" t="s">
        <v>75</v>
      </c>
      <c r="D4" s="3" t="s">
        <v>57</v>
      </c>
      <c r="E4" s="3" t="s">
        <v>54</v>
      </c>
      <c r="F4" s="3" t="s">
        <v>58</v>
      </c>
      <c r="G4" s="3" t="s">
        <v>55</v>
      </c>
      <c r="H4" s="3" t="s">
        <v>56</v>
      </c>
      <c r="I4" s="3" t="s">
        <v>59</v>
      </c>
      <c r="J4" s="3" t="s">
        <v>74</v>
      </c>
      <c r="K4" s="3" t="s">
        <v>89</v>
      </c>
      <c r="L4" s="3" t="s">
        <v>90</v>
      </c>
    </row>
    <row r="5" spans="1:12" ht="12.75">
      <c r="A5" s="21" t="s">
        <v>82</v>
      </c>
      <c r="B5">
        <v>20</v>
      </c>
      <c r="C5">
        <v>8</v>
      </c>
      <c r="D5" s="20">
        <v>1000000</v>
      </c>
      <c r="E5" s="20">
        <f>SUM(D5*B5)</f>
        <v>20000000</v>
      </c>
      <c r="F5">
        <v>12</v>
      </c>
      <c r="G5">
        <v>88</v>
      </c>
      <c r="H5" s="2">
        <f>SUM(G5*(24*365))</f>
        <v>770880</v>
      </c>
      <c r="I5" s="18">
        <f>SUM(H5/5280)</f>
        <v>146</v>
      </c>
      <c r="J5" s="20">
        <f>N10</f>
        <v>1768448.0000000002</v>
      </c>
      <c r="K5">
        <f>H17</f>
        <v>2560</v>
      </c>
      <c r="L5" s="17">
        <f>SUM(K5/I5)</f>
        <v>17.534246575342465</v>
      </c>
    </row>
    <row r="6" spans="1:12" ht="12.75">
      <c r="A6" s="21" t="s">
        <v>83</v>
      </c>
      <c r="B6">
        <v>20</v>
      </c>
      <c r="C6">
        <v>16</v>
      </c>
      <c r="D6" s="20">
        <v>2000000</v>
      </c>
      <c r="E6" s="20">
        <f>SUM(D6*B6)</f>
        <v>40000000</v>
      </c>
      <c r="F6">
        <v>10</v>
      </c>
      <c r="G6">
        <f>SUM(F6*B6)</f>
        <v>200</v>
      </c>
      <c r="H6" s="2">
        <f>SUM(G6*(24*365))</f>
        <v>1752000</v>
      </c>
      <c r="I6" s="18">
        <f>SUM(H6/5280)</f>
        <v>331.8181818181818</v>
      </c>
      <c r="J6" s="20">
        <f>N11</f>
        <v>5785663.209876547</v>
      </c>
      <c r="K6">
        <f>H16</f>
        <v>3680</v>
      </c>
      <c r="L6" s="17">
        <f>SUM(K6/I6)</f>
        <v>11.09041095890411</v>
      </c>
    </row>
    <row r="7" spans="3:4" ht="12.75">
      <c r="C7" s="20"/>
      <c r="D7" s="20"/>
    </row>
    <row r="8" spans="1:4" ht="15">
      <c r="A8" s="41" t="s">
        <v>139</v>
      </c>
      <c r="C8" s="20"/>
      <c r="D8" s="20"/>
    </row>
    <row r="9" spans="1:14" ht="12.75">
      <c r="A9" s="3" t="s">
        <v>70</v>
      </c>
      <c r="B9" s="3" t="s">
        <v>71</v>
      </c>
      <c r="C9" s="3" t="s">
        <v>60</v>
      </c>
      <c r="D9" s="3" t="s">
        <v>68</v>
      </c>
      <c r="E9" s="3" t="s">
        <v>69</v>
      </c>
      <c r="F9" s="3" t="s">
        <v>72</v>
      </c>
      <c r="G9" s="3" t="s">
        <v>73</v>
      </c>
      <c r="H9" s="3" t="s">
        <v>62</v>
      </c>
      <c r="I9" s="3" t="s">
        <v>67</v>
      </c>
      <c r="J9" s="23" t="s">
        <v>31</v>
      </c>
      <c r="K9" s="23" t="s">
        <v>63</v>
      </c>
      <c r="L9" s="3" t="s">
        <v>64</v>
      </c>
      <c r="M9" s="3" t="s">
        <v>65</v>
      </c>
      <c r="N9" s="3" t="s">
        <v>66</v>
      </c>
    </row>
    <row r="10" spans="1:14" ht="12.75">
      <c r="A10">
        <v>120</v>
      </c>
      <c r="B10">
        <f>SUM(C5*12)</f>
        <v>96</v>
      </c>
      <c r="C10">
        <f>SUM(A10-B10)*0.5</f>
        <v>12</v>
      </c>
      <c r="D10">
        <f>SUM(3.14*A10)</f>
        <v>376.8</v>
      </c>
      <c r="E10">
        <f>SUM(3.14*B10)</f>
        <v>301.44</v>
      </c>
      <c r="F10" s="2">
        <f>SUM(3.14*A10*A10)</f>
        <v>45216</v>
      </c>
      <c r="G10" s="2">
        <f>SUM(3.14*B10*B10)</f>
        <v>28938.239999999998</v>
      </c>
      <c r="H10" s="2">
        <f>SUM(F10-G10)</f>
        <v>16277.760000000002</v>
      </c>
      <c r="I10" s="22">
        <f>SUM(H10/144)</f>
        <v>113.04000000000002</v>
      </c>
      <c r="J10" s="2">
        <v>5280</v>
      </c>
      <c r="K10" s="19">
        <f>SUM(I10*J10)</f>
        <v>596851.2000000001</v>
      </c>
      <c r="L10" s="4">
        <f>SUM(K10/27)</f>
        <v>22105.600000000002</v>
      </c>
      <c r="M10" s="20">
        <v>80</v>
      </c>
      <c r="N10" s="20">
        <f>SUM(M10*L10)</f>
        <v>1768448.0000000002</v>
      </c>
    </row>
    <row r="11" spans="1:14" ht="12.75">
      <c r="A11">
        <v>232</v>
      </c>
      <c r="B11">
        <f>SUM(C6*12)</f>
        <v>192</v>
      </c>
      <c r="C11">
        <f>SUM(A11-B11)*0.5</f>
        <v>20</v>
      </c>
      <c r="D11">
        <f>SUM(3.14*A11)</f>
        <v>728.48</v>
      </c>
      <c r="E11">
        <f>SUM(3.14*B11)</f>
        <v>602.88</v>
      </c>
      <c r="F11" s="2">
        <f>SUM(3.14*A11*A11)</f>
        <v>169007.36000000002</v>
      </c>
      <c r="G11" s="2">
        <f>SUM(3.14*B11*B11)</f>
        <v>115752.95999999999</v>
      </c>
      <c r="H11" s="2">
        <f>SUM(F11-G11)</f>
        <v>53254.40000000002</v>
      </c>
      <c r="I11" s="22">
        <f>SUM(H11/144)</f>
        <v>369.82222222222236</v>
      </c>
      <c r="J11" s="2">
        <v>5280</v>
      </c>
      <c r="K11" s="19">
        <f>SUM(I11*J11)</f>
        <v>1952661.3333333342</v>
      </c>
      <c r="L11" s="4">
        <f>SUM(K11/27)</f>
        <v>72320.79012345683</v>
      </c>
      <c r="M11" s="20">
        <v>80</v>
      </c>
      <c r="N11" s="20">
        <f>SUM(M11*L11)</f>
        <v>5785663.209876547</v>
      </c>
    </row>
    <row r="14" ht="15">
      <c r="A14" s="41" t="s">
        <v>76</v>
      </c>
    </row>
    <row r="15" spans="1:10" ht="12.75">
      <c r="A15" s="3" t="s">
        <v>77</v>
      </c>
      <c r="B15" s="47" t="s">
        <v>78</v>
      </c>
      <c r="C15" s="47"/>
      <c r="D15" s="3" t="s">
        <v>54</v>
      </c>
      <c r="E15" s="3" t="s">
        <v>57</v>
      </c>
      <c r="F15" s="3" t="s">
        <v>86</v>
      </c>
      <c r="G15" s="3" t="s">
        <v>87</v>
      </c>
      <c r="H15" s="3" t="s">
        <v>88</v>
      </c>
      <c r="I15" s="3" t="s">
        <v>84</v>
      </c>
      <c r="J15" s="3" t="s">
        <v>85</v>
      </c>
    </row>
    <row r="16" spans="1:10" ht="12.75">
      <c r="A16">
        <f>FlowRate!$A$8</f>
        <v>80</v>
      </c>
      <c r="B16" t="s">
        <v>80</v>
      </c>
      <c r="D16" s="20">
        <v>3000000</v>
      </c>
      <c r="E16" s="20">
        <f>SUM(D16*A16)</f>
        <v>240000000</v>
      </c>
      <c r="G16">
        <v>46</v>
      </c>
      <c r="H16">
        <f>SUM(G16*A16)</f>
        <v>3680</v>
      </c>
      <c r="I16" s="20">
        <f>SUM(G16*J6*A16)</f>
        <v>21291240612.34569</v>
      </c>
      <c r="J16" s="20">
        <f>SUM(E16+I16)</f>
        <v>21531240612.34569</v>
      </c>
    </row>
    <row r="17" spans="1:10" ht="12.75">
      <c r="A17">
        <f>FlowRate!$A$9</f>
        <v>640</v>
      </c>
      <c r="B17" t="s">
        <v>79</v>
      </c>
      <c r="D17" s="20">
        <v>2000000</v>
      </c>
      <c r="E17" s="20">
        <f>SUM(D17*A17)</f>
        <v>1280000000</v>
      </c>
      <c r="F17">
        <v>4</v>
      </c>
      <c r="H17">
        <f>SUM(F17*A17)</f>
        <v>2560</v>
      </c>
      <c r="I17" s="20">
        <f>SUM(F17*J5*A17)</f>
        <v>4527226880.000001</v>
      </c>
      <c r="J17" s="20">
        <f>SUM(E17+I17)</f>
        <v>5807226880.000001</v>
      </c>
    </row>
    <row r="18" spans="4:9" ht="12.75">
      <c r="D18" s="20"/>
      <c r="E18" s="20"/>
      <c r="H18" s="20"/>
      <c r="I18" s="20"/>
    </row>
    <row r="19" spans="1:10" ht="15">
      <c r="A19" s="41" t="s">
        <v>140</v>
      </c>
      <c r="J19" s="20">
        <f>SUM(J16:J17)</f>
        <v>27338467492.34569</v>
      </c>
    </row>
    <row r="20" spans="1:9" ht="12.75">
      <c r="A20" s="27" t="s">
        <v>53</v>
      </c>
      <c r="B20" s="27" t="s">
        <v>92</v>
      </c>
      <c r="C20" s="27" t="s">
        <v>95</v>
      </c>
      <c r="D20" s="27" t="s">
        <v>96</v>
      </c>
      <c r="E20" s="27" t="s">
        <v>10</v>
      </c>
      <c r="F20" s="27" t="s">
        <v>93</v>
      </c>
      <c r="G20" s="27" t="s">
        <v>97</v>
      </c>
      <c r="H20" s="27" t="s">
        <v>115</v>
      </c>
      <c r="I20" s="27" t="s">
        <v>118</v>
      </c>
    </row>
    <row r="21" spans="1:9" ht="12.75">
      <c r="A21" s="30">
        <v>1</v>
      </c>
      <c r="B21" s="28">
        <v>16</v>
      </c>
      <c r="C21">
        <f>SUM(B21/2)</f>
        <v>8</v>
      </c>
      <c r="D21" s="18">
        <f>SUM(3.14*C21^2)</f>
        <v>200.96</v>
      </c>
      <c r="E21" s="34">
        <v>50</v>
      </c>
      <c r="F21" s="33">
        <f>SUM(E21*5280)</f>
        <v>264000</v>
      </c>
      <c r="G21" s="4">
        <f>SUM(D21*F21)*A21</f>
        <v>53053440</v>
      </c>
      <c r="H21" s="29">
        <v>1</v>
      </c>
      <c r="I21" s="24">
        <f>SUM(G21*H21)</f>
        <v>53053440</v>
      </c>
    </row>
    <row r="22" spans="1:9" ht="12.75">
      <c r="A22" s="30">
        <v>1</v>
      </c>
      <c r="B22" s="28">
        <v>8</v>
      </c>
      <c r="C22">
        <f>SUM(B22/2)</f>
        <v>4</v>
      </c>
      <c r="D22" s="18">
        <f>SUM(3.14*C22^2)</f>
        <v>50.24</v>
      </c>
      <c r="E22" s="34">
        <v>12</v>
      </c>
      <c r="F22" s="33">
        <f>SUM(E22*5280)</f>
        <v>63360</v>
      </c>
      <c r="G22" s="4">
        <f>SUM(D22*F22)*A22</f>
        <v>3183206.4</v>
      </c>
      <c r="H22" s="29">
        <v>1</v>
      </c>
      <c r="I22" s="24">
        <f>SUM(G22*H22)</f>
        <v>3183206.4</v>
      </c>
    </row>
    <row r="24" ht="12.75">
      <c r="A24" t="s">
        <v>61</v>
      </c>
    </row>
  </sheetData>
  <mergeCells count="1">
    <mergeCell ref="B15:C15"/>
  </mergeCells>
  <printOptions/>
  <pageMargins left="0.75" right="0.75" top="1" bottom="1" header="0.5" footer="0.5"/>
  <pageSetup fitToWidth="2" fitToHeight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34"/>
  <sheetViews>
    <sheetView workbookViewId="0" topLeftCell="A9">
      <selection activeCell="I33" sqref="I33"/>
    </sheetView>
  </sheetViews>
  <sheetFormatPr defaultColWidth="9.140625" defaultRowHeight="12.75"/>
  <sheetData>
    <row r="2" ht="12.75">
      <c r="A2" t="s">
        <v>13</v>
      </c>
    </row>
    <row r="4" ht="12.75">
      <c r="A4" t="s">
        <v>14</v>
      </c>
    </row>
    <row r="6" ht="12.75">
      <c r="A6" t="s">
        <v>15</v>
      </c>
    </row>
    <row r="8" ht="12.75">
      <c r="A8" t="s">
        <v>16</v>
      </c>
    </row>
    <row r="10" ht="12.75">
      <c r="A10" t="s">
        <v>17</v>
      </c>
    </row>
    <row r="12" ht="12.75">
      <c r="A12" t="s">
        <v>18</v>
      </c>
    </row>
    <row r="14" ht="12.75">
      <c r="A14" t="s">
        <v>19</v>
      </c>
    </row>
    <row r="16" ht="12.75">
      <c r="A16" t="s">
        <v>20</v>
      </c>
    </row>
    <row r="18" ht="12.75">
      <c r="A18" t="s">
        <v>21</v>
      </c>
    </row>
    <row r="20" ht="12.75">
      <c r="A20" t="s">
        <v>22</v>
      </c>
    </row>
    <row r="22" ht="12.75">
      <c r="A22" t="s">
        <v>23</v>
      </c>
    </row>
    <row r="24" ht="12.75">
      <c r="A24" t="s">
        <v>24</v>
      </c>
    </row>
    <row r="26" ht="12.75">
      <c r="A26" t="s">
        <v>25</v>
      </c>
    </row>
    <row r="28" ht="12.75">
      <c r="A28" t="s">
        <v>26</v>
      </c>
    </row>
    <row r="30" ht="12.75">
      <c r="A30" t="s">
        <v>27</v>
      </c>
    </row>
    <row r="32" ht="12.75">
      <c r="A32" t="s">
        <v>28</v>
      </c>
    </row>
    <row r="34" ht="12.75">
      <c r="A34" t="s">
        <v>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F11" sqref="F11"/>
    </sheetView>
  </sheetViews>
  <sheetFormatPr defaultColWidth="9.140625" defaultRowHeight="12.75"/>
  <sheetData>
    <row r="2" spans="1:3" ht="12.75" customHeight="1">
      <c r="A2" s="48" t="s">
        <v>32</v>
      </c>
      <c r="B2" s="49"/>
      <c r="C2" s="50"/>
    </row>
    <row r="3" spans="1:3" ht="25.5">
      <c r="A3" s="8" t="s">
        <v>33</v>
      </c>
      <c r="B3" s="6" t="s">
        <v>34</v>
      </c>
      <c r="C3" s="6" t="s">
        <v>35</v>
      </c>
    </row>
    <row r="4" spans="1:3" ht="12.75">
      <c r="A4" s="9">
        <v>0.125</v>
      </c>
      <c r="B4" s="7">
        <v>0.0002</v>
      </c>
      <c r="C4" s="6">
        <v>0.0014</v>
      </c>
    </row>
    <row r="5" spans="1:3" ht="12.75">
      <c r="A5" s="9">
        <v>0.25</v>
      </c>
      <c r="B5" s="7">
        <v>0.0005</v>
      </c>
      <c r="C5" s="6">
        <v>0.0039</v>
      </c>
    </row>
    <row r="6" spans="1:3" ht="12.75">
      <c r="A6" s="9">
        <v>0.375</v>
      </c>
      <c r="B6" s="7">
        <v>0.0009</v>
      </c>
      <c r="C6" s="6">
        <v>0.0066</v>
      </c>
    </row>
    <row r="7" spans="1:3" ht="12.75">
      <c r="A7" s="9">
        <v>0.5</v>
      </c>
      <c r="B7" s="7">
        <v>0.0015</v>
      </c>
      <c r="C7" s="6">
        <v>0.0113</v>
      </c>
    </row>
    <row r="8" spans="1:3" ht="12.75">
      <c r="A8" s="9">
        <v>0.75</v>
      </c>
      <c r="B8" s="7">
        <v>0.003</v>
      </c>
      <c r="C8" s="6">
        <v>0.0267</v>
      </c>
    </row>
    <row r="9" spans="1:5" ht="12.75">
      <c r="A9" s="10">
        <v>1</v>
      </c>
      <c r="B9" s="7">
        <v>0.0054</v>
      </c>
      <c r="C9" s="6">
        <v>0.0404</v>
      </c>
      <c r="D9">
        <f>SUM(A9*B9)</f>
        <v>0.0054</v>
      </c>
      <c r="E9">
        <f>SUM(D9*2)</f>
        <v>0.0108</v>
      </c>
    </row>
    <row r="10" spans="1:6" ht="12.75">
      <c r="A10" s="9">
        <v>1.25</v>
      </c>
      <c r="B10" s="7">
        <v>0.0085</v>
      </c>
      <c r="C10" s="6">
        <v>0.0632</v>
      </c>
      <c r="E10">
        <f>SUM(B12/B9)</f>
        <v>3.87037037037037</v>
      </c>
      <c r="F10" t="s">
        <v>124</v>
      </c>
    </row>
    <row r="11" spans="1:3" ht="12.75">
      <c r="A11" s="9">
        <v>1.5</v>
      </c>
      <c r="B11" s="7">
        <v>0.0196</v>
      </c>
      <c r="C11" s="6">
        <v>0.1465</v>
      </c>
    </row>
    <row r="12" spans="1:3" ht="12.75">
      <c r="A12" s="10">
        <v>2</v>
      </c>
      <c r="B12" s="7">
        <v>0.0209</v>
      </c>
      <c r="C12" s="6">
        <v>0.1565</v>
      </c>
    </row>
    <row r="15" spans="1:2" ht="12.75">
      <c r="A15" s="11" t="s">
        <v>36</v>
      </c>
      <c r="B15" s="12" t="s">
        <v>37</v>
      </c>
    </row>
    <row r="16" spans="1:2" ht="25.5">
      <c r="A16" s="11" t="s">
        <v>38</v>
      </c>
      <c r="B16" s="12" t="s">
        <v>39</v>
      </c>
    </row>
    <row r="17" spans="1:2" ht="32.25">
      <c r="A17" s="11" t="s">
        <v>40</v>
      </c>
      <c r="B17" s="12" t="s">
        <v>41</v>
      </c>
    </row>
    <row r="18" spans="1:2" ht="12.75">
      <c r="A18" s="11" t="s">
        <v>42</v>
      </c>
      <c r="B18" s="12">
        <v>45.977188</v>
      </c>
    </row>
    <row r="19" spans="1:2" ht="25.5">
      <c r="A19" s="11" t="s">
        <v>43</v>
      </c>
      <c r="B19" s="12">
        <v>-94.370804</v>
      </c>
    </row>
    <row r="20" spans="1:2" ht="42.75">
      <c r="A20" s="51" t="s">
        <v>44</v>
      </c>
      <c r="B20" s="13" t="s">
        <v>45</v>
      </c>
    </row>
    <row r="21" spans="1:2" ht="42.75">
      <c r="A21" s="52"/>
      <c r="B21" s="14" t="s">
        <v>46</v>
      </c>
    </row>
  </sheetData>
  <mergeCells count="2">
    <mergeCell ref="A2:C2"/>
    <mergeCell ref="A20:A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Interstate Traveler Company,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Sutton</dc:creator>
  <cp:keywords/>
  <dc:description/>
  <cp:lastModifiedBy>Justin Sutton</cp:lastModifiedBy>
  <cp:lastPrinted>2008-03-26T07:01:04Z</cp:lastPrinted>
  <dcterms:created xsi:type="dcterms:W3CDTF">2007-07-01T22:48:29Z</dcterms:created>
  <dcterms:modified xsi:type="dcterms:W3CDTF">2008-06-16T14:17:06Z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