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935" tabRatio="697" activeTab="1"/>
  </bookViews>
  <sheets>
    <sheet name="Planetary Facts" sheetId="1" r:id="rId1"/>
    <sheet name="Atmosphere" sheetId="2" r:id="rId2"/>
    <sheet name="Earth Facts" sheetId="3" r:id="rId3"/>
    <sheet name="Water and Ice" sheetId="4" r:id="rId4"/>
    <sheet name="Greenland Ice Sheet" sheetId="5" r:id="rId5"/>
    <sheet name="Ice Sheet Facts" sheetId="6" r:id="rId6"/>
  </sheets>
  <externalReferences>
    <externalReference r:id="rId9"/>
    <externalReference r:id="rId10"/>
  </externalReferences>
  <definedNames>
    <definedName name="_4x4">'[1]Palets'!$F$6</definedName>
    <definedName name="_4X4Paletts">#REF!</definedName>
    <definedName name="_4x4paletts2">'[2]Pallets'!$F$6</definedName>
    <definedName name="_4x4pallets">'[1]Palets'!$F$6</definedName>
    <definedName name="Answer_2" localSheetId="4">'Greenland Ice Sheet'!$A$8</definedName>
    <definedName name="AtmospherePercentages" localSheetId="1">'Atmosphere'!$A$18:$B$36</definedName>
    <definedName name="top" localSheetId="1">'Atmosphere'!$B$12</definedName>
    <definedName name="top" localSheetId="3">'Water and Ice'!$B$9</definedName>
    <definedName name="Total_Cost_for_InterState_Traveler_Installation">#REF!</definedName>
  </definedNames>
  <calcPr fullCalcOnLoad="1"/>
</workbook>
</file>

<file path=xl/sharedStrings.xml><?xml version="1.0" encoding="utf-8"?>
<sst xmlns="http://schemas.openxmlformats.org/spreadsheetml/2006/main" count="365" uniqueCount="322">
  <si>
    <t>Miles of ITC Rail</t>
  </si>
  <si>
    <t>Units (Stations) at 1/5kilomters</t>
  </si>
  <si>
    <t>Gallons/day</t>
  </si>
  <si>
    <t>Total/day</t>
  </si>
  <si>
    <t>Total / year</t>
  </si>
  <si>
    <t>Megawatts/Station</t>
  </si>
  <si>
    <t>Total Megawatts to run Stations</t>
  </si>
  <si>
    <t>Watt's per Square foot</t>
  </si>
  <si>
    <t>Square feet required</t>
  </si>
  <si>
    <t>width in feet</t>
  </si>
  <si>
    <t>length in feet</t>
  </si>
  <si>
    <t>length in miles</t>
  </si>
  <si>
    <t>Square feet/acre</t>
  </si>
  <si>
    <t>Acres Required</t>
  </si>
  <si>
    <t>Total Acres of land on Earth</t>
  </si>
  <si>
    <t>Percent of Earth's Surface</t>
  </si>
  <si>
    <t>Total Acres of solar panel on National Highway at 12 feet wide</t>
  </si>
  <si>
    <t>Highways as percent of what is needed</t>
  </si>
  <si>
    <t>Square Feet/Kilometer</t>
  </si>
  <si>
    <t>Square Kilometers of Ocean</t>
  </si>
  <si>
    <t>Ocean Square Feet</t>
  </si>
  <si>
    <t>Ocean Square Inches</t>
  </si>
  <si>
    <t>Gallons per Day</t>
  </si>
  <si>
    <t>Gallons per year</t>
  </si>
  <si>
    <t>Gallons per Cubic Foot</t>
  </si>
  <si>
    <t>Cubic Feet per Day</t>
  </si>
  <si>
    <t>Cubic Inches per Day</t>
  </si>
  <si>
    <t>cubic inches to square foot tile</t>
  </si>
  <si>
    <t>Inches lowered/day</t>
  </si>
  <si>
    <t>Feet lowered / day</t>
  </si>
  <si>
    <t>Feet lowerd / year</t>
  </si>
  <si>
    <t>Years to lower one foot</t>
  </si>
  <si>
    <t>Square Kilometers of land</t>
  </si>
  <si>
    <t>Land Square Feet</t>
  </si>
  <si>
    <t>Land Square Inches</t>
  </si>
  <si>
    <t>Land Acres</t>
  </si>
  <si>
    <t>Kilometers of Coastline (actual is 504,000)</t>
  </si>
  <si>
    <t>Total number of Stations</t>
  </si>
  <si>
    <t>Stations Interval in KM</t>
  </si>
  <si>
    <t>1 Gallon is equal to about .13 of a cubic foot sort of like a tile that is one foot square and an inch and a half thick</t>
  </si>
  <si>
    <t>So, if you tiled the ocean you will have x number of tiles, and if you could extract that many tiles, you will have lowered the level.</t>
  </si>
  <si>
    <t>decimal of a foot</t>
  </si>
  <si>
    <t>there are 7.692307695 actual Gallons / cubic foot</t>
  </si>
  <si>
    <t xml:space="preserve">If </t>
  </si>
  <si>
    <t>X</t>
  </si>
  <si>
    <t>Y</t>
  </si>
  <si>
    <t>Z</t>
  </si>
  <si>
    <t>Volume</t>
  </si>
  <si>
    <t>Refrences:</t>
  </si>
  <si>
    <t>http://hypertextbook.com/facts/2001/DanielChen.shtml</t>
  </si>
  <si>
    <t>http://www.cia.gov/cia/publications/factbook/geos/xx.html</t>
  </si>
  <si>
    <t xml:space="preserve">Hydrogen is </t>
  </si>
  <si>
    <t>one gallon is a square foot 1.56 inches thick, so, how do I make the calculation automatic?</t>
  </si>
  <si>
    <t xml:space="preserve">  http://www.ocean98.org/fact.htm "dead link"</t>
  </si>
  <si>
    <t xml:space="preserve"> http://en.wikipedia.org/wiki/Ocean</t>
  </si>
  <si>
    <t>http://en.wikipedia.org/wiki/World_Ocean_Atlas</t>
  </si>
  <si>
    <t>http://www.eoearth.org/article/Ocean</t>
  </si>
  <si>
    <t>http://www.britannica.com/eb/topic-424285/ocean</t>
  </si>
  <si>
    <t>Platetectonics Isostatic Rebound</t>
  </si>
  <si>
    <t>Mass of Ice / cubic foot</t>
  </si>
  <si>
    <t>Total Volume Greenland Ice</t>
  </si>
  <si>
    <t>Total Mass of Greenland Ice</t>
  </si>
  <si>
    <t>Volume of Water</t>
  </si>
  <si>
    <t>Mass of Ice</t>
  </si>
  <si>
    <t xml:space="preserve">Answer 
8.33 pounds 
Ice may appear lighter than water because it floats. This is not a function of weight but of density. Ice weighs the same as the water it was made from. However, it is less dense and takes up about 10% more space. Any object in water displaces only its own weight in water. For that reason, ice floats. 
So if your "gallon" of ice is a frozen gallon of water, it will weigh 8.33 pounds. 
If the "gallon" (volume measure) is the actual ice itself, it is going to weigh (and be made from) about 10% less than a gallon of water. About 7.497 pounds.
</t>
  </si>
  <si>
    <t>Mass of Ice / gallon</t>
  </si>
  <si>
    <t>http://www.units.muohio.edu/dragonfly/snow/icefloat.shtml</t>
  </si>
  <si>
    <t>http://hypertextbook.com/facts/2000/HannaBerenblit.shtml</t>
  </si>
  <si>
    <t>Volume of Earth's Polar Ice Caps</t>
  </si>
  <si>
    <t>The Physics Factbook™</t>
  </si>
  <si>
    <t>Edited by Glenn Elert -- Written by his students</t>
  </si>
  <si>
    <t>An educational, Fair Use website</t>
  </si>
  <si>
    <t>topic index | author index | special index</t>
  </si>
  <si>
    <t>Bibliographic Entry</t>
  </si>
  <si>
    <t>Result</t>
  </si>
  <si>
    <t>(w/surrounding text)</t>
  </si>
  <si>
    <t>Standardized</t>
  </si>
  <si>
    <r>
      <t xml:space="preserve">Spaulding &amp; Markowitz, </t>
    </r>
    <r>
      <rPr>
        <i/>
        <sz val="9"/>
        <color indexed="8"/>
        <rFont val="Arial"/>
        <family val="2"/>
      </rPr>
      <t>Heath Earth Science</t>
    </r>
    <r>
      <rPr>
        <sz val="9"/>
        <color indexed="8"/>
        <rFont val="Arial"/>
        <family val="2"/>
      </rPr>
      <t>. Heath, 1994: 195.</t>
    </r>
  </si>
  <si>
    <r>
      <t>"The Greenland glacier is about 1,700,000 km</t>
    </r>
    <r>
      <rPr>
        <sz val="7.5"/>
        <color indexed="8"/>
        <rFont val="Arial"/>
        <family val="2"/>
      </rPr>
      <t>2</t>
    </r>
    <r>
      <rPr>
        <sz val="9"/>
        <color indexed="8"/>
        <rFont val="Arial"/>
        <family val="2"/>
      </rPr>
      <t xml:space="preserve"> and up to 3 km in thickness."</t>
    </r>
  </si>
  <si>
    <r>
      <t>&lt; 5.1 × 10</t>
    </r>
    <r>
      <rPr>
        <sz val="7.5"/>
        <color indexed="8"/>
        <rFont val="Arial"/>
        <family val="2"/>
      </rPr>
      <t>6</t>
    </r>
    <r>
      <rPr>
        <sz val="9"/>
        <color indexed="8"/>
        <rFont val="Arial"/>
        <family val="2"/>
      </rPr>
      <t> km</t>
    </r>
    <r>
      <rPr>
        <sz val="7.5"/>
        <color indexed="8"/>
        <rFont val="Arial"/>
        <family val="2"/>
      </rPr>
      <t>3</t>
    </r>
  </si>
  <si>
    <t>(Greenland)</t>
  </si>
  <si>
    <r>
      <t>"The Antarctic glacier covers a larger landmass with an area of about 12.5 million km</t>
    </r>
    <r>
      <rPr>
        <sz val="7.5"/>
        <color indexed="8"/>
        <rFont val="Arial"/>
        <family val="2"/>
      </rPr>
      <t>2</t>
    </r>
    <r>
      <rPr>
        <sz val="9"/>
        <color indexed="8"/>
        <rFont val="Arial"/>
        <family val="2"/>
      </rPr>
      <t xml:space="preserve"> and reaches a thickness of nearly 5 km."</t>
    </r>
  </si>
  <si>
    <r>
      <t>&lt; 62.5 × 10</t>
    </r>
    <r>
      <rPr>
        <sz val="7.5"/>
        <color indexed="8"/>
        <rFont val="Arial"/>
        <family val="2"/>
      </rPr>
      <t>6</t>
    </r>
    <r>
      <rPr>
        <sz val="9"/>
        <color indexed="8"/>
        <rFont val="Arial"/>
        <family val="2"/>
      </rPr>
      <t> km</t>
    </r>
    <r>
      <rPr>
        <sz val="7.5"/>
        <color indexed="8"/>
        <rFont val="Arial"/>
        <family val="2"/>
      </rPr>
      <t>3</t>
    </r>
  </si>
  <si>
    <t>(Antarctica)</t>
  </si>
  <si>
    <r>
      <t xml:space="preserve">"Greenland." </t>
    </r>
    <r>
      <rPr>
        <i/>
        <sz val="9"/>
        <color indexed="8"/>
        <rFont val="Arial"/>
        <family val="2"/>
      </rPr>
      <t>World Book Encyclopedia</t>
    </r>
    <r>
      <rPr>
        <sz val="9"/>
        <color indexed="8"/>
        <rFont val="Arial"/>
        <family val="2"/>
      </rPr>
      <t>. Chicago: World Book, 1999: 325.</t>
    </r>
  </si>
  <si>
    <r>
      <t>"It covers 672,000 mi</t>
    </r>
    <r>
      <rPr>
        <sz val="7.5"/>
        <color indexed="8"/>
        <rFont val="Arial"/>
        <family val="2"/>
      </rPr>
      <t>2</t>
    </r>
    <r>
      <rPr>
        <sz val="9"/>
        <color indexed="8"/>
        <rFont val="Arial"/>
        <family val="2"/>
      </rPr>
      <t xml:space="preserve"> (1,740,500 km</t>
    </r>
    <r>
      <rPr>
        <sz val="7.5"/>
        <color indexed="8"/>
        <rFont val="Arial"/>
        <family val="2"/>
      </rPr>
      <t>2</t>
    </r>
    <r>
      <rPr>
        <sz val="9"/>
        <color indexed="8"/>
        <rFont val="Arial"/>
        <family val="2"/>
      </rPr>
      <t>) or about 4/5 of the island. The ice caps average over 1 mile (1.6 km) thick, and a thickness of over 2 miles (3.2 km) has been measured."</t>
    </r>
  </si>
  <si>
    <r>
      <t>2.8 × 10</t>
    </r>
    <r>
      <rPr>
        <sz val="7.5"/>
        <color indexed="8"/>
        <rFont val="Arial"/>
        <family val="2"/>
      </rPr>
      <t>6</t>
    </r>
    <r>
      <rPr>
        <sz val="9"/>
        <color indexed="8"/>
        <rFont val="Arial"/>
        <family val="2"/>
      </rPr>
      <t> km</t>
    </r>
    <r>
      <rPr>
        <sz val="7.5"/>
        <color indexed="8"/>
        <rFont val="Arial"/>
        <family val="2"/>
      </rPr>
      <t>3</t>
    </r>
  </si>
  <si>
    <r>
      <t xml:space="preserve">"Antarctica." </t>
    </r>
    <r>
      <rPr>
        <i/>
        <sz val="9"/>
        <color indexed="8"/>
        <rFont val="Arial"/>
        <family val="2"/>
      </rPr>
      <t>World Book Encyclopedia</t>
    </r>
    <r>
      <rPr>
        <sz val="9"/>
        <color indexed="8"/>
        <rFont val="Arial"/>
        <family val="2"/>
      </rPr>
      <t>. Chicago: World Book, 1999: 532.</t>
    </r>
  </si>
  <si>
    <r>
      <t>"Its volume of 7 1/4 million cubic miles (30 million km</t>
    </r>
    <r>
      <rPr>
        <sz val="7.5"/>
        <color indexed="8"/>
        <rFont val="Arial"/>
        <family val="2"/>
      </rPr>
      <t>3</t>
    </r>
    <r>
      <rPr>
        <sz val="9"/>
        <color indexed="8"/>
        <rFont val="Arial"/>
        <family val="2"/>
      </rPr>
      <t>) represents about 70% of the world's fresh water."</t>
    </r>
  </si>
  <si>
    <r>
      <t>30 × 10</t>
    </r>
    <r>
      <rPr>
        <sz val="7.5"/>
        <color indexed="8"/>
        <rFont val="Arial"/>
        <family val="2"/>
      </rPr>
      <t>6</t>
    </r>
    <r>
      <rPr>
        <sz val="9"/>
        <color indexed="8"/>
        <rFont val="Arial"/>
        <family val="2"/>
      </rPr>
      <t> km</t>
    </r>
    <r>
      <rPr>
        <sz val="7.5"/>
        <color indexed="8"/>
        <rFont val="Arial"/>
        <family val="2"/>
      </rPr>
      <t>3</t>
    </r>
  </si>
  <si>
    <t>Williams, Richard S. Jr., &amp; Jane G. Ferrigno. Estimated present-day area and volume of glaciers and maximum sea level rise potential. Satellite Image Atlas of Glaciers of the World. US Geological Survey (USGS).</t>
  </si>
  <si>
    <t>"Geographic region: Greenland </t>
  </si>
  <si>
    <t>Percent: 10.82</t>
  </si>
  <si>
    <r>
      <t>Volume: 2,600,000 km</t>
    </r>
    <r>
      <rPr>
        <sz val="7.5"/>
        <color indexed="8"/>
        <rFont val="Arial"/>
        <family val="2"/>
      </rPr>
      <t>3</t>
    </r>
  </si>
  <si>
    <t>Percent: 7.9</t>
  </si>
  <si>
    <t>Maximum sea level rise potential: 6.5 m</t>
  </si>
  <si>
    <r>
      <t>Area: 1,736,095 km</t>
    </r>
    <r>
      <rPr>
        <sz val="7.5"/>
        <color indexed="8"/>
        <rFont val="Arial"/>
        <family val="2"/>
      </rPr>
      <t>2</t>
    </r>
    <r>
      <rPr>
        <sz val="9"/>
        <color indexed="8"/>
        <rFont val="Arial"/>
        <family val="2"/>
      </rPr>
      <t>"</t>
    </r>
  </si>
  <si>
    <r>
      <t>2.6 × 10</t>
    </r>
    <r>
      <rPr>
        <sz val="7.5"/>
        <color indexed="8"/>
        <rFont val="Arial"/>
        <family val="2"/>
      </rPr>
      <t>6</t>
    </r>
    <r>
      <rPr>
        <sz val="9"/>
        <color indexed="8"/>
        <rFont val="Arial"/>
        <family val="2"/>
      </rPr>
      <t> km</t>
    </r>
    <r>
      <rPr>
        <sz val="7.5"/>
        <color indexed="8"/>
        <rFont val="Arial"/>
        <family val="2"/>
      </rPr>
      <t>3</t>
    </r>
  </si>
  <si>
    <t>"Geographic region: Antarctica</t>
  </si>
  <si>
    <t>Percent: 84.64 </t>
  </si>
  <si>
    <r>
      <t>Volume: 30,109,800 km</t>
    </r>
    <r>
      <rPr>
        <sz val="7.5"/>
        <color indexed="8"/>
        <rFont val="Arial"/>
        <family val="2"/>
      </rPr>
      <t>3</t>
    </r>
  </si>
  <si>
    <t>Percent: 91.49 </t>
  </si>
  <si>
    <t>Maximum sea level rise potential: 73.44 m</t>
  </si>
  <si>
    <r>
      <t>Area: 13,586,400 km</t>
    </r>
    <r>
      <rPr>
        <sz val="7.5"/>
        <color indexed="8"/>
        <rFont val="Arial"/>
        <family val="2"/>
      </rPr>
      <t>2</t>
    </r>
    <r>
      <rPr>
        <sz val="9"/>
        <color indexed="8"/>
        <rFont val="Arial"/>
        <family val="2"/>
      </rPr>
      <t>"</t>
    </r>
  </si>
  <si>
    <r>
      <t>30.1098 × 10</t>
    </r>
    <r>
      <rPr>
        <sz val="7.5"/>
        <color indexed="8"/>
        <rFont val="Arial"/>
        <family val="2"/>
      </rPr>
      <t>6</t>
    </r>
    <r>
      <rPr>
        <sz val="9"/>
        <color indexed="8"/>
        <rFont val="Arial"/>
        <family val="2"/>
      </rPr>
      <t> km</t>
    </r>
    <r>
      <rPr>
        <sz val="7.5"/>
        <color indexed="8"/>
        <rFont val="Arial"/>
        <family val="2"/>
      </rPr>
      <t>3</t>
    </r>
  </si>
  <si>
    <r>
      <t xml:space="preserve">Schultz, Gwen. </t>
    </r>
    <r>
      <rPr>
        <i/>
        <sz val="9"/>
        <color indexed="8"/>
        <rFont val="Arial"/>
        <family val="2"/>
      </rPr>
      <t>Ice Age Lost</t>
    </r>
    <r>
      <rPr>
        <sz val="9"/>
        <color indexed="8"/>
        <rFont val="Arial"/>
        <family val="2"/>
      </rPr>
      <t>. 1974. 232, 75.</t>
    </r>
  </si>
  <si>
    <t>"The US geological survey gives these figures: The Greenland ice cap with its volume of 630,000 cubic miles, if melted could yield enough water to maintain the Mississippi river for over 4,700 years."</t>
  </si>
  <si>
    <t>"It has been calculated that if Antarctica's approximately 6,000,000 cubic miles of ice should melt, the level of the oceans all over the world would rise 200 feet."</t>
  </si>
  <si>
    <r>
      <t>25 × 10</t>
    </r>
    <r>
      <rPr>
        <sz val="7.5"/>
        <color indexed="8"/>
        <rFont val="Arial"/>
        <family val="2"/>
      </rPr>
      <t>6</t>
    </r>
    <r>
      <rPr>
        <sz val="9"/>
        <color indexed="8"/>
        <rFont val="Arial"/>
        <family val="2"/>
      </rPr>
      <t> km</t>
    </r>
    <r>
      <rPr>
        <sz val="7.5"/>
        <color indexed="8"/>
        <rFont val="Arial"/>
        <family val="2"/>
      </rPr>
      <t>3</t>
    </r>
  </si>
  <si>
    <t>Denmark/Greenland. Greenland Tourism. Danish Tourist Board.</t>
  </si>
  <si>
    <t>"The ice cap or inland ice covers 1,833,900 square km, equivalent to 85 percent of Greenland's total area, and extends 2,500 km (1,553 miles) from north to south and up to 1,000 km from east to west. At its center, the ice can be up to 3 km thick, representing 10 percent of the world's total fresh water reserves. If all the ice were to melt, the world's oceans would rise seven meters."</t>
  </si>
  <si>
    <r>
      <t>&lt; 5.5 × 10</t>
    </r>
    <r>
      <rPr>
        <sz val="7.5"/>
        <color indexed="8"/>
        <rFont val="Arial"/>
        <family val="2"/>
      </rPr>
      <t>6</t>
    </r>
    <r>
      <rPr>
        <sz val="9"/>
        <color indexed="8"/>
        <rFont val="Arial"/>
        <family val="2"/>
      </rPr>
      <t> km</t>
    </r>
    <r>
      <rPr>
        <sz val="7.5"/>
        <color indexed="8"/>
        <rFont val="Arial"/>
        <family val="2"/>
      </rPr>
      <t>3</t>
    </r>
  </si>
  <si>
    <t>Erickson, Jon. "Glacial Geology."1996, 161.</t>
  </si>
  <si>
    <t>"The ice sheet rises nearly 3 miles in places, with an average thickness of over 7,000 feet amounting to about 7 million cubic miles of ice."</t>
  </si>
  <si>
    <r>
      <t>29 × 10</t>
    </r>
    <r>
      <rPr>
        <sz val="7.5"/>
        <color indexed="8"/>
        <rFont val="Arial"/>
        <family val="2"/>
      </rPr>
      <t>6</t>
    </r>
    <r>
      <rPr>
        <sz val="9"/>
        <color indexed="8"/>
        <rFont val="Arial"/>
        <family val="2"/>
      </rPr>
      <t> km</t>
    </r>
    <r>
      <rPr>
        <sz val="7.5"/>
        <color indexed="8"/>
        <rFont val="Arial"/>
        <family val="2"/>
      </rPr>
      <t>3</t>
    </r>
  </si>
  <si>
    <t>Greenland Total Area of Land Mass</t>
  </si>
  <si>
    <t>Total</t>
  </si>
  <si>
    <t>CIA World Fact Book</t>
  </si>
  <si>
    <t xml:space="preserve">Greenland, the world's largest island, is about 81% ice-capped. Vikings reached the island in the 10th century from Iceland; Danish colonization began in the 18th century, and Greenland was made an integral part of Denmark in 1953. It joined the European Community (now the EU) with Denmark in 1973, but withdrew in 1985 over a dispute centered on stringent fishing quotas. Greenland was granted self-government in 1979 by the Danish parliament; the law went into effect the following year. Denmark continues to exercise control of Greenland's foreign affairs in consultation with Greenland's Home Rule Government. </t>
  </si>
  <si>
    <t xml:space="preserve"> km² (13th)</t>
  </si>
  <si>
    <t>% Ice Cap</t>
  </si>
  <si>
    <t>Total Area of Ice</t>
  </si>
  <si>
    <t>Km2</t>
  </si>
  <si>
    <t>Average Thickness</t>
  </si>
  <si>
    <t>km</t>
  </si>
  <si>
    <t>Total cuM</t>
  </si>
  <si>
    <t>Total cuKm</t>
  </si>
  <si>
    <t>Total CuFt</t>
  </si>
  <si>
    <t>1  cubic meter = 35.314 666 572 cubic foot</t>
  </si>
  <si>
    <t>Total Ocean</t>
  </si>
  <si>
    <t>Ocean size to ice sheet</t>
  </si>
  <si>
    <t>Meters</t>
  </si>
  <si>
    <t>Feet</t>
  </si>
  <si>
    <t>Feet/metere</t>
  </si>
  <si>
    <t>Ocean Rise</t>
  </si>
  <si>
    <t>The diameter of the earth at the equator is 7,926.41 miles (12,756.32 kilometers).</t>
  </si>
  <si>
    <t>Tyvek cost</t>
  </si>
  <si>
    <t>Dimensions</t>
  </si>
  <si>
    <t>Width</t>
  </si>
  <si>
    <t>Length</t>
  </si>
  <si>
    <t>Area</t>
  </si>
  <si>
    <t>sq yards</t>
  </si>
  <si>
    <t>Cost Roll</t>
  </si>
  <si>
    <t>Cost / SqYd</t>
  </si>
  <si>
    <t>Cost / sqft</t>
  </si>
  <si>
    <t>Cost / sqmile</t>
  </si>
  <si>
    <t>solar energy</t>
  </si>
  <si>
    <t>Reference:</t>
  </si>
  <si>
    <t>http://en.wikipedia.org/wiki/Solar_constant</t>
  </si>
  <si>
    <t>Earth</t>
  </si>
  <si>
    <t>Watts / SqM TOA</t>
  </si>
  <si>
    <t>Watts/SqM Equator</t>
  </si>
  <si>
    <t>watts/sqm</t>
  </si>
  <si>
    <t>Solar Constant</t>
  </si>
  <si>
    <t>http://earthobservatory.nasa.gov/Library/Oven/</t>
  </si>
  <si>
    <t>watts/sqm average</t>
  </si>
  <si>
    <t>Watts Reflected</t>
  </si>
  <si>
    <t>Watts/sqyrd</t>
  </si>
  <si>
    <t>Watts / Reflected</t>
  </si>
  <si>
    <t>KW Reflected</t>
  </si>
  <si>
    <t>BTU Reflected</t>
  </si>
  <si>
    <t>Convertion : BTU / KW</t>
  </si>
  <si>
    <t>Kilowatt * 3414</t>
  </si>
  <si>
    <t>http://en.wikipedia.org/wiki/Btu</t>
  </si>
  <si>
    <t>SqYrd/sqmile</t>
  </si>
  <si>
    <t>Lbs of Ice</t>
  </si>
  <si>
    <t>Circumference</t>
  </si>
  <si>
    <t xml:space="preserve">Sphere Surface Area     =     4 • π • r²     =     π • d² </t>
  </si>
  <si>
    <t>Area Cross Section</t>
  </si>
  <si>
    <t>Circumference   =   2 • π • radius   =   π • diameter</t>
  </si>
  <si>
    <t xml:space="preserve">Circle Area   =       π • r²     =     ¼ • π • d² </t>
  </si>
  <si>
    <t>1 square mile = 2.58998811 square kilometer</t>
  </si>
  <si>
    <t>Surface Area in KM</t>
  </si>
  <si>
    <t>Surface Area miles</t>
  </si>
  <si>
    <t>Radius miles</t>
  </si>
  <si>
    <t>Diameter miles</t>
  </si>
  <si>
    <t>Total Hitting Earth</t>
  </si>
  <si>
    <t>Earth's Diameter</t>
  </si>
  <si>
    <t>Atmosphere Thickness</t>
  </si>
  <si>
    <t>Earth's Diameter + Atmosphere</t>
  </si>
  <si>
    <t>Total Volume of Earth+Atmosphere</t>
  </si>
  <si>
    <t>Total Volume of Atmosphere</t>
  </si>
  <si>
    <t>Miles</t>
  </si>
  <si>
    <r>
      <t>Volume of a Sphere =     V = 4/3• π • r</t>
    </r>
    <r>
      <rPr>
        <vertAlign val="superscript"/>
        <sz val="10"/>
        <rFont val="Arial"/>
        <family val="2"/>
      </rPr>
      <t>3</t>
    </r>
    <r>
      <rPr>
        <sz val="10"/>
        <rFont val="Arial"/>
        <family val="0"/>
      </rPr>
      <t xml:space="preserve"> </t>
    </r>
  </si>
  <si>
    <t>Earth Volume Cubic Miles</t>
  </si>
  <si>
    <t>Atmosphere Thickness Miles</t>
  </si>
  <si>
    <t>Super-Earth Diameter</t>
  </si>
  <si>
    <t>Super Earth Volume</t>
  </si>
  <si>
    <t>Super Earth Radius</t>
  </si>
  <si>
    <t>Atmospheric Volume Cubic Miles</t>
  </si>
  <si>
    <t>http://en.wikipedia.org/wiki/Earth%27s_atmosphere</t>
  </si>
  <si>
    <t>Source:</t>
  </si>
  <si>
    <t xml:space="preserve">Gas </t>
  </si>
  <si>
    <t xml:space="preserve">Nitrogen (N2) </t>
  </si>
  <si>
    <t xml:space="preserve">Oxygen (O2) </t>
  </si>
  <si>
    <t xml:space="preserve">Argon (Ar) </t>
  </si>
  <si>
    <t xml:space="preserve">Carbon dioxide (CO2) </t>
  </si>
  <si>
    <t xml:space="preserve">Neon (Ne) </t>
  </si>
  <si>
    <t xml:space="preserve">Helium (He) </t>
  </si>
  <si>
    <t xml:space="preserve">Methane (CH4) </t>
  </si>
  <si>
    <t xml:space="preserve">Krypton (Kr) </t>
  </si>
  <si>
    <t xml:space="preserve">Hydrogen (H2) </t>
  </si>
  <si>
    <t xml:space="preserve">Nitrous oxide (N2O) </t>
  </si>
  <si>
    <t xml:space="preserve">Carbon monoxide (CO) </t>
  </si>
  <si>
    <t xml:space="preserve">Xenon (Xe) </t>
  </si>
  <si>
    <t xml:space="preserve">Ozone (O3) </t>
  </si>
  <si>
    <t xml:space="preserve">Nitrogen dioxide (NO2) </t>
  </si>
  <si>
    <t xml:space="preserve">Iodine (I2) </t>
  </si>
  <si>
    <t xml:space="preserve">Ammonia (NH3) </t>
  </si>
  <si>
    <t>trace</t>
  </si>
  <si>
    <t>Not included in above dry atmosphere:</t>
  </si>
  <si>
    <t xml:space="preserve">Water vapor (H2O) </t>
  </si>
  <si>
    <t>~0.40% over full atmosphere, typically 1%-4% at su</t>
  </si>
  <si>
    <t>780,840 ppmv</t>
  </si>
  <si>
    <t>209,460 ppmv</t>
  </si>
  <si>
    <t xml:space="preserve">9,340 ppmv </t>
  </si>
  <si>
    <t>390 ppmv</t>
  </si>
  <si>
    <t xml:space="preserve">18.18 ppmv </t>
  </si>
  <si>
    <t xml:space="preserve">5.24 ppmv </t>
  </si>
  <si>
    <t xml:space="preserve">1.79 ppmv </t>
  </si>
  <si>
    <t>1.14 ppmv</t>
  </si>
  <si>
    <t xml:space="preserve">0.55 ppmv </t>
  </si>
  <si>
    <t>0.3 ppmv</t>
  </si>
  <si>
    <t xml:space="preserve">0.1 ppmv </t>
  </si>
  <si>
    <t xml:space="preserve"> (0 to 7×10-6%)</t>
  </si>
  <si>
    <t>0.0 to 0.07 ppmv</t>
  </si>
  <si>
    <t>Total Volume in Cubic Miles</t>
  </si>
  <si>
    <t>Total Volume in Cubic Meters</t>
  </si>
  <si>
    <t>Total Volume in Cubic Feet</t>
  </si>
  <si>
    <t>Cubic Miles</t>
  </si>
  <si>
    <t>Cubic Kilometers</t>
  </si>
  <si>
    <t>Cubic Kilometers / Cubic Mile</t>
  </si>
  <si>
    <t>Cubic Meters / Cubic KM</t>
  </si>
  <si>
    <t>Cubic Feet per Cubic Meter</t>
  </si>
  <si>
    <t>Carbon Offset</t>
  </si>
  <si>
    <r>
      <t>Hydrocarbons such as gasoline form a bond of 8 carbons to every 18 atoms of hydrogen, or C</t>
    </r>
    <r>
      <rPr>
        <vertAlign val="subscript"/>
        <sz val="10"/>
        <rFont val="Arial"/>
        <family val="0"/>
      </rPr>
      <t>8</t>
    </r>
    <r>
      <rPr>
        <sz val="10"/>
        <rFont val="Arial"/>
        <family val="0"/>
      </rPr>
      <t>H</t>
    </r>
    <r>
      <rPr>
        <vertAlign val="subscript"/>
        <sz val="10"/>
        <rFont val="Arial"/>
        <family val="0"/>
      </rPr>
      <t>18</t>
    </r>
    <r>
      <rPr>
        <sz val="10"/>
        <rFont val="Arial"/>
        <family val="0"/>
      </rPr>
      <t>. When the hydrocarbon is oxidized, the hydrogen is burned away to create H</t>
    </r>
    <r>
      <rPr>
        <vertAlign val="subscript"/>
        <sz val="10"/>
        <rFont val="Arial"/>
        <family val="0"/>
      </rPr>
      <t>2</t>
    </r>
    <r>
      <rPr>
        <sz val="10"/>
        <rFont val="Arial"/>
        <family val="0"/>
      </rPr>
      <t>O and CO</t>
    </r>
    <r>
      <rPr>
        <vertAlign val="subscript"/>
        <sz val="10"/>
        <rFont val="Arial"/>
        <family val="0"/>
      </rPr>
      <t xml:space="preserve">2 </t>
    </r>
  </si>
  <si>
    <r>
      <t>So for every C</t>
    </r>
    <r>
      <rPr>
        <vertAlign val="subscript"/>
        <sz val="10"/>
        <rFont val="Arial"/>
        <family val="0"/>
      </rPr>
      <t>8</t>
    </r>
    <r>
      <rPr>
        <sz val="10"/>
        <rFont val="Arial"/>
        <family val="0"/>
      </rPr>
      <t>H</t>
    </r>
    <r>
      <rPr>
        <vertAlign val="subscript"/>
        <sz val="10"/>
        <rFont val="Arial"/>
        <family val="0"/>
      </rPr>
      <t>18</t>
    </r>
    <r>
      <rPr>
        <sz val="10"/>
        <rFont val="Arial"/>
        <family val="0"/>
      </rPr>
      <t xml:space="preserve"> that is oxidized there are created 8 CO</t>
    </r>
    <r>
      <rPr>
        <vertAlign val="subscript"/>
        <sz val="10"/>
        <rFont val="Arial"/>
        <family val="0"/>
      </rPr>
      <t>2</t>
    </r>
    <r>
      <rPr>
        <sz val="10"/>
        <rFont val="Arial"/>
        <family val="0"/>
      </rPr>
      <t xml:space="preserve"> and 18 H</t>
    </r>
    <r>
      <rPr>
        <vertAlign val="subscript"/>
        <sz val="10"/>
        <rFont val="Arial"/>
        <family val="0"/>
      </rPr>
      <t>2</t>
    </r>
    <r>
      <rPr>
        <sz val="10"/>
        <rFont val="Arial"/>
        <family val="0"/>
      </rPr>
      <t>O molecules.</t>
    </r>
  </si>
  <si>
    <t>The molecular weight of carbon is 6</t>
  </si>
  <si>
    <t>The molecular weight of hydrogen is 1</t>
  </si>
  <si>
    <t>The molecular weight of Oxygen is 8</t>
  </si>
  <si>
    <r>
      <t>So a single C</t>
    </r>
    <r>
      <rPr>
        <vertAlign val="subscript"/>
        <sz val="10"/>
        <rFont val="Arial"/>
        <family val="0"/>
      </rPr>
      <t>8</t>
    </r>
    <r>
      <rPr>
        <sz val="10"/>
        <rFont val="Arial"/>
        <family val="0"/>
      </rPr>
      <t>H</t>
    </r>
    <r>
      <rPr>
        <vertAlign val="subscript"/>
        <sz val="10"/>
        <rFont val="Arial"/>
        <family val="0"/>
      </rPr>
      <t>18</t>
    </r>
    <r>
      <rPr>
        <sz val="10"/>
        <rFont val="Arial"/>
        <family val="0"/>
      </rPr>
      <t xml:space="preserve"> is (8*6)+(1*18)= 66mw molecular weight</t>
    </r>
  </si>
  <si>
    <r>
      <t>So a single CO</t>
    </r>
    <r>
      <rPr>
        <vertAlign val="subscript"/>
        <sz val="10"/>
        <rFont val="Arial"/>
        <family val="0"/>
      </rPr>
      <t>2</t>
    </r>
    <r>
      <rPr>
        <sz val="10"/>
        <rFont val="Arial"/>
        <family val="0"/>
      </rPr>
      <t xml:space="preserve"> is (6)+(8*2)= 22mw molecular weight.</t>
    </r>
  </si>
  <si>
    <r>
      <t>So a single H</t>
    </r>
    <r>
      <rPr>
        <vertAlign val="subscript"/>
        <sz val="10"/>
        <rFont val="Arial"/>
        <family val="0"/>
      </rPr>
      <t>2</t>
    </r>
    <r>
      <rPr>
        <sz val="10"/>
        <rFont val="Arial"/>
        <family val="0"/>
      </rPr>
      <t>O is (1*2)+(8) = 10mw molecular weight</t>
    </r>
  </si>
  <si>
    <r>
      <t>When a single C</t>
    </r>
    <r>
      <rPr>
        <vertAlign val="subscript"/>
        <sz val="10"/>
        <rFont val="Arial"/>
        <family val="0"/>
      </rPr>
      <t>8</t>
    </r>
    <r>
      <rPr>
        <sz val="10"/>
        <rFont val="Arial"/>
        <family val="0"/>
      </rPr>
      <t>H</t>
    </r>
    <r>
      <rPr>
        <vertAlign val="subscript"/>
        <sz val="10"/>
        <rFont val="Arial"/>
        <family val="0"/>
      </rPr>
      <t>18</t>
    </r>
    <r>
      <rPr>
        <sz val="10"/>
        <rFont val="Arial"/>
        <family val="0"/>
      </rPr>
      <t xml:space="preserve"> is oxidized it will produce 8 * 22mw = 176mw in CO</t>
    </r>
    <r>
      <rPr>
        <vertAlign val="subscript"/>
        <sz val="10"/>
        <rFont val="Arial"/>
        <family val="0"/>
      </rPr>
      <t>2</t>
    </r>
    <r>
      <rPr>
        <sz val="10"/>
        <rFont val="Arial"/>
        <family val="0"/>
      </rPr>
      <t>.</t>
    </r>
  </si>
  <si>
    <r>
      <t>When a single C</t>
    </r>
    <r>
      <rPr>
        <vertAlign val="subscript"/>
        <sz val="10"/>
        <rFont val="Arial"/>
        <family val="0"/>
      </rPr>
      <t>8</t>
    </r>
    <r>
      <rPr>
        <sz val="10"/>
        <rFont val="Arial"/>
        <family val="0"/>
      </rPr>
      <t>H</t>
    </r>
    <r>
      <rPr>
        <vertAlign val="subscript"/>
        <sz val="10"/>
        <rFont val="Arial"/>
        <family val="0"/>
      </rPr>
      <t>18</t>
    </r>
    <r>
      <rPr>
        <sz val="10"/>
        <rFont val="Arial"/>
        <family val="0"/>
      </rPr>
      <t xml:space="preserve"> is oxidized it will produce 9 * 10mw = 90mw in H</t>
    </r>
    <r>
      <rPr>
        <vertAlign val="subscript"/>
        <sz val="10"/>
        <rFont val="Arial"/>
        <family val="0"/>
      </rPr>
      <t>2</t>
    </r>
    <r>
      <rPr>
        <sz val="10"/>
        <rFont val="Arial"/>
        <family val="0"/>
      </rPr>
      <t>O</t>
    </r>
  </si>
  <si>
    <t>Thus the factor of mass per unit of gasoline to mass per unit of carbon dioxide produced at oxidation is about 2.68.</t>
  </si>
  <si>
    <r>
      <t>This is why a gallon of gasoline that weighs 7.5 lbs can produce 18.6 lbs worth of CO</t>
    </r>
    <r>
      <rPr>
        <vertAlign val="subscript"/>
        <sz val="10"/>
        <rFont val="Arial"/>
        <family val="0"/>
      </rPr>
      <t>2</t>
    </r>
  </si>
  <si>
    <r>
      <t>Finally, the same oxidation cycle therefore consumes 16 atomic units of O for the CO</t>
    </r>
    <r>
      <rPr>
        <vertAlign val="subscript"/>
        <sz val="10"/>
        <rFont val="Arial"/>
        <family val="0"/>
      </rPr>
      <t xml:space="preserve">2 </t>
    </r>
    <r>
      <rPr>
        <sz val="10"/>
        <rFont val="Arial"/>
        <family val="0"/>
      </rPr>
      <t>and 9 atomic units of O for each H</t>
    </r>
    <r>
      <rPr>
        <vertAlign val="subscript"/>
        <sz val="10"/>
        <rFont val="Arial"/>
        <family val="0"/>
      </rPr>
      <t>2</t>
    </r>
    <r>
      <rPr>
        <sz val="10"/>
        <rFont val="Arial"/>
        <family val="0"/>
      </rPr>
      <t xml:space="preserve">O which is 25au * 8mw for a total of 200mws in Oxygen which is a factor of 3.03.  </t>
    </r>
  </si>
  <si>
    <t>Therefore, for each 7.5 lbs of gasoline oxidized, 22.72 lbs of Oxygen are consumed from the atmosphere.</t>
  </si>
  <si>
    <t>In large quantities, the price of liquid oxygen in 2001 was approximately $0.21/kg.</t>
  </si>
  <si>
    <t>1.429 g/L</t>
  </si>
  <si>
    <t>Density</t>
  </si>
  <si>
    <t>Liters</t>
  </si>
  <si>
    <t>Liters per Cubic Meter</t>
  </si>
  <si>
    <t>0.02 ppmv (2×10-6%)</t>
  </si>
  <si>
    <t>(1×10-6%) (0.000001%)</t>
  </si>
  <si>
    <t xml:space="preserve">0.01 ppmv </t>
  </si>
  <si>
    <t>0.09 ppmv (9×10-6%)</t>
  </si>
  <si>
    <t>Total World Petroleum Consumption</t>
  </si>
  <si>
    <t xml:space="preserve"> barrels/day</t>
  </si>
  <si>
    <t>Gallons / day</t>
  </si>
  <si>
    <t>U.S. Motor Gasoline Consumption</t>
  </si>
  <si>
    <t>barrels/day</t>
  </si>
  <si>
    <t xml:space="preserve"> (378 million gallons/day)</t>
  </si>
  <si>
    <t>http://www.eia.doe.gov/energyexplained/index.cfm?page=oil_home#tab2</t>
  </si>
  <si>
    <t>Gallons/Barrel</t>
  </si>
  <si>
    <t>Oxygen Consumption Rate lbs</t>
  </si>
  <si>
    <t>Total Oxygen Consumption / lbs Day</t>
  </si>
  <si>
    <t>Interstate Traveler Company, LLC</t>
  </si>
  <si>
    <t>Planetary Calculator Series</t>
  </si>
  <si>
    <t>Atmospheric Change</t>
  </si>
  <si>
    <t>Global Ocean Surface Model</t>
  </si>
  <si>
    <t>Square Feet/ SquareKilometer</t>
  </si>
  <si>
    <t>To calculate the volume of the Atmosphere of the Earth, start with Calculating the Volume of the Earth, then subtract that from a Volume calculation based on as sphere that is large enough to encompass the earth and atmosphere.</t>
  </si>
  <si>
    <t>Total Volume of Earth's Sphere</t>
  </si>
  <si>
    <t>Atmospheric Thickness Ratio to Radius</t>
  </si>
  <si>
    <r>
      <t>The density of air at sea level is about 1.2  kg/m</t>
    </r>
    <r>
      <rPr>
        <vertAlign val="superscript"/>
        <sz val="10"/>
        <rFont val="Arial"/>
        <family val="0"/>
      </rPr>
      <t>3</t>
    </r>
    <r>
      <rPr>
        <sz val="10"/>
        <rFont val="Arial"/>
        <family val="0"/>
      </rPr>
      <t xml:space="preserve"> (1.2 g/L).</t>
    </r>
  </si>
  <si>
    <t>Grams Per Liter</t>
  </si>
  <si>
    <t>Density (0 °C, 101.325 kPa)</t>
  </si>
  <si>
    <t>1.8–2.1 g·cm−3</t>
  </si>
  <si>
    <t>Density (near r.t.) amorphous:</t>
  </si>
  <si>
    <t>cm^3</t>
  </si>
  <si>
    <t>g/L</t>
  </si>
  <si>
    <t>Grams per Day</t>
  </si>
  <si>
    <t>Grams per Pound</t>
  </si>
  <si>
    <t>Total Liters</t>
  </si>
  <si>
    <t>Cubic Meters</t>
  </si>
  <si>
    <t>Cubic Kilometers / Day</t>
  </si>
  <si>
    <t>Cu Km / Year</t>
  </si>
  <si>
    <t>Total O2 in Atmosphere</t>
  </si>
  <si>
    <t>Percent/Year</t>
  </si>
  <si>
    <t>Cumulative in Years</t>
  </si>
  <si>
    <t>Cumulative %</t>
  </si>
  <si>
    <t>Prepared by Justin Eric Sutton</t>
  </si>
  <si>
    <t>Most Recent Edit</t>
  </si>
  <si>
    <t>5.25.2011</t>
  </si>
  <si>
    <t>This Series of Spreadsheets is dedicated to the quantitative analysis of atmospheric change</t>
  </si>
  <si>
    <t>Basis of Atmospheric analysis is built upon an editable value for atmospheric thickness</t>
  </si>
  <si>
    <t>Enter Earths Atmosphere Here:</t>
  </si>
  <si>
    <t>Thickness in Miles</t>
  </si>
  <si>
    <t>Volume of Earths Atmosphere</t>
  </si>
  <si>
    <t>Gallons of Gasoline</t>
  </si>
  <si>
    <t>Pounds Oxygen Consumed</t>
  </si>
  <si>
    <t>Gals/Per Day</t>
  </si>
  <si>
    <t>Lbs/Per Day</t>
  </si>
  <si>
    <t>Grams / Liter</t>
  </si>
  <si>
    <t>Density of Oxygen at Sea Level</t>
  </si>
  <si>
    <t>Liters / Day</t>
  </si>
  <si>
    <t>Cubic Meters / Day</t>
  </si>
  <si>
    <t>Cubic Kilometers / Year</t>
  </si>
  <si>
    <t>Cumulative Rate in Years</t>
  </si>
  <si>
    <t>Percent of Change / Year</t>
  </si>
  <si>
    <t>Total O2 CuKm</t>
  </si>
  <si>
    <t>Percent of Depletion by Cumulative Rate</t>
  </si>
  <si>
    <t>Liters per Pound</t>
  </si>
  <si>
    <t>Cubic meters Per Pound</t>
  </si>
  <si>
    <t>Cubic meters / Gal Gas</t>
  </si>
  <si>
    <t>Total CuKm of Oxygen by Cumulative Rate</t>
  </si>
  <si>
    <t>Total Volume of O2 in Atmosphere</t>
  </si>
  <si>
    <t>The above Calucations to not include oxygen consumed by other commerical processes</t>
  </si>
  <si>
    <t>or the oxidization of Coal or Natural Gas</t>
  </si>
  <si>
    <t xml:space="preserve">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</si>
</sst>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0"/>
    <numFmt numFmtId="170" formatCode="&quot;$&quot;#,##0.0000000"/>
    <numFmt numFmtId="171" formatCode="0.0%"/>
    <numFmt numFmtId="172" formatCode="0.000"/>
    <numFmt numFmtId="173" formatCode="&quot;$&quot;#,##0"/>
    <numFmt numFmtId="174" formatCode="&quot;$&quot;#,##0.0000"/>
    <numFmt numFmtId="175" formatCode="&quot;$&quot;#,##0.00000"/>
    <numFmt numFmtId="176" formatCode="0.0"/>
    <numFmt numFmtId="177" formatCode="_(* #,##0.000_);_(* \(#,##0.000\);_(* &quot;-&quot;??_);_(@_)"/>
    <numFmt numFmtId="178" formatCode="_(* #,##0.0000_);_(* \(#,##0.0000\);_(* &quot;-&quot;??_);_(@_)"/>
    <numFmt numFmtId="179" formatCode="_(* #,##0.0_);_(* \(#,##0.0\);_(* &quot;-&quot;??_);_(@_)"/>
    <numFmt numFmtId="180" formatCode="_(* #,##0_);_(* \(#,##0\);_(* &quot;-&quot;??_);_(@_)"/>
    <numFmt numFmtId="181" formatCode="&quot;$&quot;#,##0.00000000"/>
    <numFmt numFmtId="182" formatCode="&quot;$&quot;#,##0.000000"/>
    <numFmt numFmtId="183" formatCode="&quot;$&quot;#,##0.0000000000"/>
    <numFmt numFmtId="184" formatCode="0.0000%"/>
    <numFmt numFmtId="185" formatCode="0.000000%"/>
    <numFmt numFmtId="186" formatCode="0.0000000%"/>
    <numFmt numFmtId="187" formatCode="0.00000000%"/>
    <numFmt numFmtId="188" formatCode="0.00000000"/>
    <numFmt numFmtId="189" formatCode="0.0000000000000"/>
    <numFmt numFmtId="190" formatCode="0.0000000000000000"/>
    <numFmt numFmtId="191" formatCode="_(* #,##0.000000000_);_(* \(#,##0.000000000\);_(* &quot;-&quot;?????????_);_(@_)"/>
    <numFmt numFmtId="192" formatCode="0.000000000000000000000000000000"/>
    <numFmt numFmtId="193" formatCode="_(* #,##0.0000000000_);_(* \(#,##0.0000000000\);_(* &quot;-&quot;??????????_);_(@_)"/>
    <numFmt numFmtId="194" formatCode="_(* #,##0.0000000000000000_);_(* \(#,##0.0000000000000000\);_(* &quot;-&quot;????????????????_);_(@_)"/>
    <numFmt numFmtId="195" formatCode="_(* #,##0.0_);_(* \(#,##0.0\);_(* &quot;-&quot;?_);_(@_)"/>
    <numFmt numFmtId="196" formatCode="0.00000%"/>
    <numFmt numFmtId="197" formatCode="#,##0.000"/>
    <numFmt numFmtId="198" formatCode="#,##0.0"/>
    <numFmt numFmtId="199" formatCode="_(* #,##0.00000000_);_(* \(#,##0.00000000\);_(* &quot;-&quot;????????_);_(@_)"/>
    <numFmt numFmtId="200" formatCode="0.000%"/>
    <numFmt numFmtId="201" formatCode="_(* #,##0.00000_);_(* \(#,##0.00000\);_(* &quot;-&quot;?????_);_(@_)"/>
    <numFmt numFmtId="202" formatCode="0.00000"/>
    <numFmt numFmtId="203" formatCode="0.0000"/>
  </numFmts>
  <fonts count="17">
    <font>
      <sz val="10"/>
      <name val="Arial"/>
      <family val="0"/>
    </font>
    <font>
      <u val="single"/>
      <sz val="10"/>
      <color indexed="20"/>
      <name val="Arial"/>
      <family val="0"/>
    </font>
    <font>
      <u val="single"/>
      <sz val="10"/>
      <color indexed="12"/>
      <name val="Arial"/>
      <family val="0"/>
    </font>
    <font>
      <sz val="8"/>
      <name val="Arial"/>
      <family val="0"/>
    </font>
    <font>
      <sz val="9"/>
      <name val="Times New Roman"/>
      <family val="1"/>
    </font>
    <font>
      <sz val="9"/>
      <color indexed="8"/>
      <name val="Arial"/>
      <family val="2"/>
    </font>
    <font>
      <b/>
      <sz val="15"/>
      <color indexed="8"/>
      <name val="Arial"/>
      <family val="2"/>
    </font>
    <font>
      <b/>
      <sz val="9"/>
      <color indexed="8"/>
      <name val="Arial"/>
      <family val="2"/>
    </font>
    <font>
      <i/>
      <sz val="9"/>
      <color indexed="8"/>
      <name val="Arial"/>
      <family val="2"/>
    </font>
    <font>
      <sz val="7.5"/>
      <color indexed="8"/>
      <name val="Arial"/>
      <family val="2"/>
    </font>
    <font>
      <vertAlign val="superscript"/>
      <sz val="10"/>
      <name val="Arial"/>
      <family val="2"/>
    </font>
    <font>
      <vertAlign val="subscript"/>
      <sz val="10"/>
      <name val="Arial"/>
      <family val="0"/>
    </font>
    <font>
      <b/>
      <sz val="18"/>
      <name val="Arial"/>
      <family val="0"/>
    </font>
    <font>
      <sz val="22"/>
      <name val="Arial"/>
      <family val="0"/>
    </font>
    <font>
      <sz val="12"/>
      <name val="Arial"/>
      <family val="0"/>
    </font>
    <font>
      <sz val="11"/>
      <name val="Arial"/>
      <family val="0"/>
    </font>
    <font>
      <b/>
      <sz val="12"/>
      <name val="Arial"/>
      <family val="2"/>
    </font>
  </fonts>
  <fills count="6">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7">
    <border>
      <left/>
      <right/>
      <top/>
      <bottom/>
      <diagonal/>
    </border>
    <border>
      <left style="thick">
        <color indexed="8"/>
      </left>
      <right style="thick">
        <color indexed="8"/>
      </right>
      <top style="thick">
        <color indexed="8"/>
      </top>
      <bottom>
        <color indexed="63"/>
      </bottom>
    </border>
    <border>
      <left style="thick">
        <color indexed="8"/>
      </left>
      <right style="thick">
        <color indexed="8"/>
      </right>
      <top>
        <color indexed="63"/>
      </top>
      <bottom style="thick">
        <color indexed="8"/>
      </bottom>
    </border>
    <border>
      <left style="thick">
        <color indexed="8"/>
      </left>
      <right style="thick">
        <color indexed="8"/>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2" borderId="0" xfId="0" applyFill="1" applyAlignment="1">
      <alignment/>
    </xf>
    <xf numFmtId="0" fontId="0" fillId="2" borderId="0" xfId="0" applyFill="1" applyAlignment="1">
      <alignment horizontal="center"/>
    </xf>
    <xf numFmtId="3" fontId="0" fillId="3" borderId="0" xfId="0" applyNumberFormat="1" applyFill="1" applyAlignment="1">
      <alignment/>
    </xf>
    <xf numFmtId="41" fontId="0" fillId="3" borderId="0" xfId="15" applyNumberFormat="1" applyFill="1" applyAlignment="1">
      <alignment/>
    </xf>
    <xf numFmtId="180" fontId="0" fillId="3" borderId="0" xfId="15" applyNumberFormat="1" applyFill="1" applyAlignment="1">
      <alignment/>
    </xf>
    <xf numFmtId="180" fontId="0" fillId="0" borderId="0" xfId="15" applyNumberFormat="1" applyAlignment="1">
      <alignment/>
    </xf>
    <xf numFmtId="0" fontId="0" fillId="3" borderId="0" xfId="0" applyFill="1" applyAlignment="1">
      <alignment/>
    </xf>
    <xf numFmtId="41" fontId="0" fillId="0" borderId="0" xfId="0" applyNumberFormat="1" applyAlignment="1">
      <alignment/>
    </xf>
    <xf numFmtId="43" fontId="0" fillId="3" borderId="0" xfId="15" applyFont="1" applyFill="1" applyAlignment="1">
      <alignment/>
    </xf>
    <xf numFmtId="43" fontId="0" fillId="0" borderId="0" xfId="15" applyAlignment="1">
      <alignment/>
    </xf>
    <xf numFmtId="43" fontId="0" fillId="0" borderId="0" xfId="0" applyNumberFormat="1" applyAlignment="1">
      <alignment/>
    </xf>
    <xf numFmtId="196" fontId="0" fillId="0" borderId="0" xfId="21" applyNumberFormat="1" applyAlignment="1">
      <alignment/>
    </xf>
    <xf numFmtId="9" fontId="0" fillId="0" borderId="0" xfId="21" applyAlignment="1">
      <alignment/>
    </xf>
    <xf numFmtId="3" fontId="4" fillId="0" borderId="0" xfId="0" applyNumberFormat="1" applyFont="1" applyAlignment="1">
      <alignment/>
    </xf>
    <xf numFmtId="3" fontId="0" fillId="0" borderId="0" xfId="0" applyNumberFormat="1" applyFont="1" applyAlignment="1">
      <alignment/>
    </xf>
    <xf numFmtId="191" fontId="0" fillId="0" borderId="0" xfId="0" applyNumberFormat="1" applyAlignment="1">
      <alignment/>
    </xf>
    <xf numFmtId="193" fontId="0" fillId="0" borderId="0" xfId="0" applyNumberFormat="1" applyAlignment="1">
      <alignment/>
    </xf>
    <xf numFmtId="194" fontId="0" fillId="0" borderId="0" xfId="0" applyNumberFormat="1" applyAlignment="1">
      <alignment/>
    </xf>
    <xf numFmtId="195" fontId="0" fillId="0" borderId="0" xfId="0" applyNumberFormat="1" applyAlignment="1">
      <alignment/>
    </xf>
    <xf numFmtId="3" fontId="0" fillId="0" borderId="0" xfId="0" applyNumberFormat="1" applyAlignment="1">
      <alignment/>
    </xf>
    <xf numFmtId="0" fontId="0" fillId="0" borderId="0" xfId="0" applyAlignment="1">
      <alignment horizontal="center"/>
    </xf>
    <xf numFmtId="0" fontId="2" fillId="0" borderId="0" xfId="20" applyAlignment="1">
      <alignment/>
    </xf>
    <xf numFmtId="0" fontId="0" fillId="0" borderId="0" xfId="0" applyAlignment="1">
      <alignment horizontal="left"/>
    </xf>
    <xf numFmtId="197" fontId="0" fillId="0" borderId="0" xfId="0" applyNumberFormat="1" applyAlignment="1">
      <alignment/>
    </xf>
    <xf numFmtId="0" fontId="6" fillId="0" borderId="0" xfId="0" applyFont="1" applyAlignment="1">
      <alignment horizontal="center"/>
    </xf>
    <xf numFmtId="0" fontId="5" fillId="0" borderId="0" xfId="0" applyFont="1" applyAlignment="1">
      <alignment horizontal="center"/>
    </xf>
    <xf numFmtId="0" fontId="2" fillId="0" borderId="0" xfId="20" applyAlignment="1">
      <alignment horizontal="center"/>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5" fillId="0" borderId="0" xfId="0" applyFont="1" applyAlignment="1">
      <alignment/>
    </xf>
    <xf numFmtId="0" fontId="5" fillId="5" borderId="1" xfId="0" applyFont="1" applyFill="1" applyBorder="1" applyAlignment="1">
      <alignment horizont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wrapText="1"/>
    </xf>
    <xf numFmtId="10" fontId="0" fillId="0" borderId="0" xfId="0" applyNumberFormat="1" applyAlignment="1">
      <alignment/>
    </xf>
    <xf numFmtId="0" fontId="0" fillId="0" borderId="0" xfId="0" applyAlignment="1">
      <alignment wrapText="1"/>
    </xf>
    <xf numFmtId="3" fontId="0" fillId="0" borderId="0" xfId="0" applyNumberFormat="1" applyAlignment="1">
      <alignment wrapText="1"/>
    </xf>
    <xf numFmtId="9" fontId="0" fillId="0" borderId="0" xfId="21" applyAlignment="1">
      <alignment/>
    </xf>
    <xf numFmtId="43" fontId="0" fillId="0" borderId="0" xfId="15" applyAlignment="1">
      <alignment/>
    </xf>
    <xf numFmtId="168" fontId="0" fillId="0" borderId="0" xfId="0" applyNumberFormat="1" applyAlignment="1">
      <alignment/>
    </xf>
    <xf numFmtId="9" fontId="0" fillId="0" borderId="0" xfId="0" applyNumberFormat="1" applyAlignment="1">
      <alignment/>
    </xf>
    <xf numFmtId="180" fontId="0" fillId="0" borderId="0" xfId="15" applyNumberFormat="1" applyAlignment="1">
      <alignment/>
    </xf>
    <xf numFmtId="43" fontId="0" fillId="2" borderId="0" xfId="0" applyNumberFormat="1" applyFill="1" applyAlignment="1">
      <alignment horizontal="center"/>
    </xf>
    <xf numFmtId="4" fontId="0" fillId="0" borderId="0" xfId="0" applyNumberFormat="1" applyAlignment="1">
      <alignment/>
    </xf>
    <xf numFmtId="43" fontId="0" fillId="2" borderId="0" xfId="15" applyFill="1" applyAlignment="1">
      <alignment/>
    </xf>
    <xf numFmtId="43" fontId="0" fillId="2" borderId="0" xfId="15" applyFont="1" applyFill="1" applyAlignment="1">
      <alignment/>
    </xf>
    <xf numFmtId="196" fontId="0" fillId="0" borderId="0" xfId="0" applyNumberFormat="1" applyAlignment="1">
      <alignment/>
    </xf>
    <xf numFmtId="180" fontId="0" fillId="0" borderId="0" xfId="0" applyNumberFormat="1" applyAlignment="1">
      <alignment/>
    </xf>
    <xf numFmtId="0" fontId="0" fillId="0" borderId="0" xfId="0" applyAlignment="1">
      <alignment horizontal="left" wrapText="1"/>
    </xf>
    <xf numFmtId="0" fontId="0" fillId="0" borderId="0" xfId="0" applyAlignment="1">
      <alignment horizontal="left"/>
    </xf>
    <xf numFmtId="0" fontId="0" fillId="0" borderId="0" xfId="0" applyNumberFormat="1" applyAlignment="1">
      <alignment horizontal="left"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5" fillId="5" borderId="1" xfId="0" applyFont="1" applyFill="1" applyBorder="1" applyAlignment="1">
      <alignment wrapText="1"/>
    </xf>
    <xf numFmtId="0" fontId="5" fillId="5" borderId="3" xfId="0" applyFont="1" applyFill="1" applyBorder="1" applyAlignment="1">
      <alignment wrapText="1"/>
    </xf>
    <xf numFmtId="0" fontId="5" fillId="5" borderId="2" xfId="0" applyFont="1" applyFill="1" applyBorder="1" applyAlignment="1">
      <alignment wrapText="1"/>
    </xf>
    <xf numFmtId="0" fontId="5" fillId="5" borderId="1" xfId="0" applyFont="1" applyFill="1" applyBorder="1" applyAlignment="1">
      <alignment horizontal="center" wrapText="1"/>
    </xf>
    <xf numFmtId="0" fontId="5" fillId="5" borderId="2" xfId="0" applyFont="1" applyFill="1" applyBorder="1" applyAlignment="1">
      <alignment horizontal="center" wrapText="1"/>
    </xf>
    <xf numFmtId="0" fontId="2" fillId="5" borderId="1" xfId="20" applyFill="1" applyBorder="1" applyAlignment="1">
      <alignment wrapText="1"/>
    </xf>
    <xf numFmtId="0" fontId="2" fillId="5" borderId="3" xfId="20" applyFill="1" applyBorder="1" applyAlignment="1">
      <alignment wrapText="1"/>
    </xf>
    <xf numFmtId="0" fontId="2" fillId="5" borderId="2" xfId="20" applyFill="1" applyBorder="1" applyAlignment="1">
      <alignment wrapText="1"/>
    </xf>
    <xf numFmtId="0" fontId="13" fillId="0" borderId="0" xfId="0" applyFont="1" applyAlignment="1">
      <alignment/>
    </xf>
    <xf numFmtId="0" fontId="14" fillId="0" borderId="0" xfId="0" applyFont="1" applyAlignment="1">
      <alignment/>
    </xf>
    <xf numFmtId="0" fontId="14" fillId="0" borderId="4" xfId="0" applyFont="1" applyBorder="1" applyAlignment="1">
      <alignment/>
    </xf>
    <xf numFmtId="0" fontId="0" fillId="0" borderId="4" xfId="0" applyBorder="1" applyAlignment="1">
      <alignment/>
    </xf>
    <xf numFmtId="49" fontId="0" fillId="0" borderId="5" xfId="0" applyNumberFormat="1" applyBorder="1" applyAlignment="1">
      <alignment horizontal="left" wrapText="1"/>
    </xf>
    <xf numFmtId="49" fontId="0" fillId="0" borderId="0" xfId="0" applyNumberFormat="1" applyBorder="1" applyAlignment="1">
      <alignment horizontal="left" wrapText="1"/>
    </xf>
    <xf numFmtId="0" fontId="3" fillId="0" borderId="0" xfId="0" applyFont="1" applyAlignment="1">
      <alignment/>
    </xf>
    <xf numFmtId="180" fontId="15" fillId="0" borderId="0" xfId="15" applyNumberFormat="1" applyFont="1" applyAlignment="1">
      <alignment/>
    </xf>
    <xf numFmtId="0" fontId="0" fillId="2" borderId="0" xfId="0" applyFill="1" applyAlignment="1">
      <alignment horizontal="right"/>
    </xf>
    <xf numFmtId="0" fontId="15" fillId="0" borderId="0" xfId="0" applyFont="1" applyAlignment="1">
      <alignment horizontal="right"/>
    </xf>
    <xf numFmtId="178" fontId="0" fillId="0" borderId="0" xfId="0" applyNumberFormat="1" applyAlignment="1">
      <alignment/>
    </xf>
    <xf numFmtId="0" fontId="12" fillId="0" borderId="4" xfId="0" applyFont="1" applyBorder="1" applyAlignment="1">
      <alignment/>
    </xf>
    <xf numFmtId="3" fontId="0" fillId="0" borderId="0" xfId="0" applyNumberFormat="1" applyAlignment="1">
      <alignment horizontal="right"/>
    </xf>
    <xf numFmtId="10" fontId="0" fillId="0" borderId="0" xfId="21" applyNumberFormat="1" applyAlignment="1">
      <alignment/>
    </xf>
    <xf numFmtId="0" fontId="0" fillId="0" borderId="0" xfId="0" applyFill="1" applyAlignment="1">
      <alignment/>
    </xf>
    <xf numFmtId="0" fontId="14" fillId="2" borderId="0" xfId="0" applyFont="1" applyFill="1" applyAlignment="1">
      <alignment/>
    </xf>
    <xf numFmtId="0" fontId="16" fillId="2" borderId="0" xfId="0" applyFont="1" applyFill="1" applyAlignment="1">
      <alignment/>
    </xf>
    <xf numFmtId="0" fontId="14" fillId="0" borderId="0" xfId="0" applyFont="1" applyAlignment="1">
      <alignment horizontal="right"/>
    </xf>
    <xf numFmtId="43" fontId="0" fillId="0" borderId="0" xfId="0" applyNumberFormat="1" applyAlignment="1">
      <alignment horizontal="right"/>
    </xf>
    <xf numFmtId="0" fontId="0" fillId="0" borderId="0" xfId="0" applyAlignment="1">
      <alignment horizontal="right"/>
    </xf>
    <xf numFmtId="0" fontId="0" fillId="0" borderId="0" xfId="0" applyFill="1" applyBorder="1" applyAlignment="1">
      <alignment horizontal="right"/>
    </xf>
    <xf numFmtId="0" fontId="0" fillId="3" borderId="6" xfId="0" applyFill="1" applyBorder="1" applyAlignment="1" applyProtection="1">
      <alignment/>
      <protection locked="0"/>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36</xdr:row>
      <xdr:rowOff>47625</xdr:rowOff>
    </xdr:from>
    <xdr:to>
      <xdr:col>7</xdr:col>
      <xdr:colOff>647700</xdr:colOff>
      <xdr:row>41</xdr:row>
      <xdr:rowOff>133350</xdr:rowOff>
    </xdr:to>
    <xdr:sp>
      <xdr:nvSpPr>
        <xdr:cNvPr id="1" name="TextBox 1"/>
        <xdr:cNvSpPr txBox="1">
          <a:spLocks noChangeArrowheads="1"/>
        </xdr:cNvSpPr>
      </xdr:nvSpPr>
      <xdr:spPr>
        <a:xfrm>
          <a:off x="47625" y="5934075"/>
          <a:ext cx="981075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solar constant is relatively constant, but varies according to sunspot activity. It affects mainly long-term climates, rather than short-term weather. The Earth receives a total amount of radiation determined by its cross section (π R2), but as the planet rotates this energy is distributed across the entire surface area (4 π R2). Hence, the average incoming solar radiation (known as "insolation") is one fourth the solar constant or ~342 W/m². At any given location and time, the amount received at the surface depends on the state of the atmosphere and the latitude.</a:t>
          </a:r>
        </a:p>
      </xdr:txBody>
    </xdr:sp>
    <xdr:clientData/>
  </xdr:twoCellAnchor>
  <xdr:twoCellAnchor>
    <xdr:from>
      <xdr:col>0</xdr:col>
      <xdr:colOff>133350</xdr:colOff>
      <xdr:row>50</xdr:row>
      <xdr:rowOff>19050</xdr:rowOff>
    </xdr:from>
    <xdr:to>
      <xdr:col>4</xdr:col>
      <xdr:colOff>771525</xdr:colOff>
      <xdr:row>56</xdr:row>
      <xdr:rowOff>28575</xdr:rowOff>
    </xdr:to>
    <xdr:sp>
      <xdr:nvSpPr>
        <xdr:cNvPr id="2" name="TextBox 2"/>
        <xdr:cNvSpPr txBox="1">
          <a:spLocks noChangeArrowheads="1"/>
        </xdr:cNvSpPr>
      </xdr:nvSpPr>
      <xdr:spPr>
        <a:xfrm>
          <a:off x="133350" y="8172450"/>
          <a:ext cx="545782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BTU is defined as the amount of heat required to raise the temperature of one pound of water by one degree Fahrenheit. 143 BTU is required to melt a pound of ice. As is the case with the calorie, several different definitions of the BTU exist, which are based on different water temperatures and therefore vary by up to 0.5%</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s\Rapid%20Transport\Interstate%20Traveler%20Financial%20Calculations%2010-2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jects\rapid%20Transport\Interstate%20Traveler%20Financial%20Calculations%2010-23-02%20AnnArb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mage01"/>
      <sheetName val="Image02"/>
      <sheetName val="Image03"/>
      <sheetName val="Image04"/>
      <sheetName val="Costs per kilometer"/>
      <sheetName val="SampleCalc"/>
      <sheetName val="Return On Investment"/>
      <sheetName val="DailyMonthlyPass"/>
      <sheetName val="Startup Infrastructure Costs"/>
      <sheetName val="Payroll"/>
      <sheetName val="SolarCells"/>
      <sheetName val="Energy Use Calculator"/>
      <sheetName val="Hyrdrogen Production"/>
      <sheetName val="Steel and Concrete"/>
      <sheetName val="BridgeCluster"/>
      <sheetName val="Insurance"/>
      <sheetName val="TimeLine"/>
      <sheetName val="Rail Cost per K Chart"/>
      <sheetName val="Total Cost Chart"/>
      <sheetName val="Routes"/>
      <sheetName val="Addressing"/>
      <sheetName val="Lease Purchase"/>
      <sheetName val="Townships"/>
      <sheetName val="Michigan Assoc Regions"/>
      <sheetName val="The Names2"/>
      <sheetName val="Palets"/>
      <sheetName val="Telemarketing"/>
      <sheetName val="Time Line"/>
      <sheetName val="Stock Capitalization"/>
      <sheetName val="Advisory Board"/>
    </sheetNames>
    <sheetDataSet>
      <sheetData sheetId="26">
        <row r="6">
          <cell r="F6">
            <v>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Page"/>
      <sheetName val="Image01"/>
      <sheetName val="Image02"/>
      <sheetName val="Image03"/>
      <sheetName val="Image04"/>
      <sheetName val="Costs per kilometer"/>
      <sheetName val="Return On Investment"/>
      <sheetName val="Townships"/>
      <sheetName val="Costs Ann Arbor Loop"/>
      <sheetName val="Ann Arbor ROI"/>
      <sheetName val="Startup Infrastructure Costs"/>
      <sheetName val="Payroll"/>
      <sheetName val="SolarCells"/>
      <sheetName val="Hyrdrogen Production"/>
      <sheetName val="Steel and Concrete"/>
      <sheetName val="Insurance"/>
      <sheetName val="ProductionTimeLine"/>
      <sheetName val="Rail Cost per K Chart"/>
      <sheetName val="Total Cost Chart"/>
      <sheetName val="Routes"/>
      <sheetName val="Addressing"/>
      <sheetName val="Lease Purchase"/>
      <sheetName val="Michigan Assoc Regions"/>
      <sheetName val="The Names2"/>
      <sheetName val="BridgeCluster"/>
      <sheetName val="Pallets"/>
      <sheetName val="Pallets 2"/>
      <sheetName val="Stock Capitalization"/>
      <sheetName val="Advisory Board"/>
    </sheetNames>
    <sheetDataSet>
      <sheetData sheetId="25">
        <row r="6">
          <cell r="F6">
            <v>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n.wikipedia.org/wiki/Earth%27s_atmosphere" TargetMode="External" /><Relationship Id="rId2" Type="http://schemas.openxmlformats.org/officeDocument/2006/relationships/hyperlink" Target="http://www.eia.gov/emeu/ipsr/t17.xls" TargetMode="External" /><Relationship Id="rId3" Type="http://schemas.openxmlformats.org/officeDocument/2006/relationships/hyperlink" Target="http://www.eia.gov/dnav/pet/pet_cons_psup_dc_nus_mbblpd_a.htm" TargetMode="External" /><Relationship Id="rId4" Type="http://schemas.openxmlformats.org/officeDocument/2006/relationships/hyperlink" Target="http://en.wikipedia.org/wiki/Density" TargetMode="External" /><Relationship Id="rId5" Type="http://schemas.openxmlformats.org/officeDocument/2006/relationships/hyperlink" Target="http://en.wikipedia.org/wiki/Density"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n.wikipedia.org/wiki/Solar_constant"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n.wikipedia.org/wiki/World_Ocean_Atlas" TargetMode="External" /><Relationship Id="rId2" Type="http://schemas.openxmlformats.org/officeDocument/2006/relationships/hyperlink" Target="http://www.cia.gov/cia/publications/factbook/geos/xx.html"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hypertextbook.com/facts/" TargetMode="External" /><Relationship Id="rId2" Type="http://schemas.openxmlformats.org/officeDocument/2006/relationships/hyperlink" Target="javascript:openSlide(%22http://hypertextbook.com/fairuse.shtml%22)" TargetMode="External" /><Relationship Id="rId3" Type="http://schemas.openxmlformats.org/officeDocument/2006/relationships/hyperlink" Target="http://pubs.usgs.gov/factsheet/fs133-99/gl_vol.html" TargetMode="External" /><Relationship Id="rId4" Type="http://schemas.openxmlformats.org/officeDocument/2006/relationships/hyperlink" Target="http://www.interknowledge.com/denmark/greenland.html" TargetMode="External" /></Relationships>
</file>

<file path=xl/worksheets/sheet1.xml><?xml version="1.0" encoding="utf-8"?>
<worksheet xmlns="http://schemas.openxmlformats.org/spreadsheetml/2006/main" xmlns:r="http://schemas.openxmlformats.org/officeDocument/2006/relationships">
  <dimension ref="A1:H30"/>
  <sheetViews>
    <sheetView zoomScale="121" zoomScaleNormal="121" workbookViewId="0" topLeftCell="A1">
      <selection activeCell="D13" sqref="D13"/>
    </sheetView>
  </sheetViews>
  <sheetFormatPr defaultColWidth="9.140625" defaultRowHeight="12.75"/>
  <cols>
    <col min="3" max="3" width="10.8515625" style="0" customWidth="1"/>
    <col min="4" max="4" width="22.140625" style="0" customWidth="1"/>
    <col min="8" max="8" width="6.00390625" style="0" customWidth="1"/>
  </cols>
  <sheetData>
    <row r="1" ht="27">
      <c r="A1" s="61" t="s">
        <v>268</v>
      </c>
    </row>
    <row r="2" spans="1:8" ht="15.75">
      <c r="A2" s="77" t="s">
        <v>269</v>
      </c>
      <c r="B2" s="1"/>
      <c r="C2" s="1"/>
      <c r="D2" s="1"/>
      <c r="E2" s="1"/>
      <c r="F2" s="1"/>
      <c r="G2" s="1"/>
      <c r="H2" s="1"/>
    </row>
    <row r="4" spans="1:3" ht="15">
      <c r="A4" s="62" t="s">
        <v>293</v>
      </c>
      <c r="B4" s="62"/>
      <c r="C4" s="62"/>
    </row>
    <row r="5" spans="1:4" ht="23.25" customHeight="1">
      <c r="A5" s="62" t="s">
        <v>294</v>
      </c>
      <c r="B5" s="62"/>
      <c r="D5" s="78" t="s">
        <v>295</v>
      </c>
    </row>
    <row r="8" ht="12.75">
      <c r="A8" t="s">
        <v>296</v>
      </c>
    </row>
    <row r="10" ht="12.75">
      <c r="A10" t="s">
        <v>297</v>
      </c>
    </row>
    <row r="12" spans="3:4" ht="12.75">
      <c r="C12" s="80" t="s">
        <v>310</v>
      </c>
      <c r="D12" s="82">
        <v>33</v>
      </c>
    </row>
    <row r="13" spans="3:5" ht="12.75">
      <c r="C13" s="80" t="s">
        <v>298</v>
      </c>
      <c r="D13" s="82">
        <v>13</v>
      </c>
      <c r="E13" t="s">
        <v>299</v>
      </c>
    </row>
    <row r="14" spans="3:5" ht="12.75">
      <c r="C14" s="80" t="s">
        <v>300</v>
      </c>
      <c r="D14" s="79">
        <f>'Earth Facts'!$G$15</f>
        <v>2572793870.746643</v>
      </c>
      <c r="E14" t="s">
        <v>229</v>
      </c>
    </row>
    <row r="15" spans="3:5" ht="12.75">
      <c r="C15" s="80" t="s">
        <v>300</v>
      </c>
      <c r="D15" s="79">
        <f>Atmosphere!$C$13</f>
        <v>10723867956.168743</v>
      </c>
      <c r="E15" t="s">
        <v>230</v>
      </c>
    </row>
    <row r="16" spans="3:5" ht="12.75">
      <c r="C16" s="80" t="s">
        <v>301</v>
      </c>
      <c r="D16" s="47">
        <f>Atmosphere!$C$67</f>
        <v>3539637879.2930975</v>
      </c>
      <c r="E16" t="s">
        <v>303</v>
      </c>
    </row>
    <row r="17" spans="3:5" ht="12.75">
      <c r="C17" s="80" t="s">
        <v>302</v>
      </c>
      <c r="D17" s="41">
        <f>Atmosphere!$F$67</f>
        <v>77872033344.44815</v>
      </c>
      <c r="E17" t="s">
        <v>304</v>
      </c>
    </row>
    <row r="18" spans="3:5" ht="12.75">
      <c r="C18" s="81" t="s">
        <v>306</v>
      </c>
      <c r="D18">
        <f>Atmosphere!$H$67</f>
        <v>1.429</v>
      </c>
      <c r="E18" t="s">
        <v>305</v>
      </c>
    </row>
    <row r="19" spans="4:5" ht="12.75">
      <c r="D19" s="11">
        <f>Atmosphere!$I$67</f>
        <v>50475325697399.37</v>
      </c>
      <c r="E19" t="s">
        <v>307</v>
      </c>
    </row>
    <row r="20" spans="4:5" ht="12.75">
      <c r="D20" s="11">
        <f>Atmosphere!$J$67</f>
        <v>50475325697.39937</v>
      </c>
      <c r="E20" t="s">
        <v>308</v>
      </c>
    </row>
    <row r="21" spans="4:5" ht="12.75">
      <c r="D21" s="11">
        <f>Atmosphere!$K$67</f>
        <v>50475.32569739937</v>
      </c>
      <c r="E21" t="s">
        <v>287</v>
      </c>
    </row>
    <row r="22" spans="3:5" ht="12.75">
      <c r="C22" s="80" t="s">
        <v>318</v>
      </c>
      <c r="D22" s="11">
        <f>Atmosphere!$E$20</f>
        <v>2246221382.0991054</v>
      </c>
      <c r="E22" t="s">
        <v>230</v>
      </c>
    </row>
    <row r="23" spans="4:5" ht="12.75">
      <c r="D23" s="11">
        <f>Atmosphere!$L$67</f>
        <v>18423493.87955077</v>
      </c>
      <c r="E23" t="s">
        <v>309</v>
      </c>
    </row>
    <row r="24" spans="4:5" ht="12.75">
      <c r="D24" s="34">
        <f>Atmosphere!$N$67</f>
        <v>0.008201993813420972</v>
      </c>
      <c r="E24" t="s">
        <v>311</v>
      </c>
    </row>
    <row r="26" spans="4:5" ht="12.75">
      <c r="D26" s="11">
        <f>Atmosphere!$P$67</f>
        <v>607975298.0251755</v>
      </c>
      <c r="E26" t="s">
        <v>317</v>
      </c>
    </row>
    <row r="27" spans="4:5" ht="12.75">
      <c r="D27" s="34">
        <f>Atmosphere!$Q$67</f>
        <v>0.27066579584289213</v>
      </c>
      <c r="E27" t="s">
        <v>313</v>
      </c>
    </row>
    <row r="29" ht="12.75">
      <c r="B29" t="s">
        <v>319</v>
      </c>
    </row>
    <row r="30" ht="12.75">
      <c r="B30" t="s">
        <v>320</v>
      </c>
    </row>
  </sheetData>
  <printOptions/>
  <pageMargins left="0.5" right="0.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Q71"/>
  <sheetViews>
    <sheetView tabSelected="1" workbookViewId="0" topLeftCell="A1">
      <selection activeCell="B13" sqref="B13"/>
    </sheetView>
  </sheetViews>
  <sheetFormatPr defaultColWidth="9.140625" defaultRowHeight="12.75"/>
  <cols>
    <col min="1" max="1" width="33.28125" style="0" bestFit="1" customWidth="1"/>
    <col min="2" max="2" width="26.140625" style="0" customWidth="1"/>
    <col min="3" max="3" width="19.28125" style="0" bestFit="1" customWidth="1"/>
    <col min="4" max="4" width="24.7109375" style="0" bestFit="1" customWidth="1"/>
    <col min="5" max="5" width="27.00390625" style="0" bestFit="1" customWidth="1"/>
    <col min="6" max="6" width="32.28125" style="0" bestFit="1" customWidth="1"/>
    <col min="7" max="7" width="27.140625" style="0" bestFit="1" customWidth="1"/>
    <col min="8" max="8" width="28.7109375" style="0" bestFit="1" customWidth="1"/>
    <col min="9" max="9" width="21.421875" style="0" bestFit="1" customWidth="1"/>
    <col min="10" max="10" width="20.28125" style="0" bestFit="1" customWidth="1"/>
    <col min="11" max="11" width="20.421875" style="0" bestFit="1" customWidth="1"/>
    <col min="12" max="12" width="14.00390625" style="0" bestFit="1" customWidth="1"/>
    <col min="13" max="13" width="20.8515625" style="0" bestFit="1" customWidth="1"/>
    <col min="14" max="14" width="11.8515625" style="0" bestFit="1" customWidth="1"/>
    <col min="15" max="15" width="18.00390625" style="0" bestFit="1" customWidth="1"/>
    <col min="16" max="16" width="15.00390625" style="0" bestFit="1" customWidth="1"/>
    <col min="17" max="17" width="12.28125" style="0" bestFit="1" customWidth="1"/>
  </cols>
  <sheetData>
    <row r="1" ht="27">
      <c r="A1" s="61" t="s">
        <v>268</v>
      </c>
    </row>
    <row r="2" spans="1:5" ht="15">
      <c r="A2" s="76" t="s">
        <v>269</v>
      </c>
      <c r="B2" s="1"/>
      <c r="C2" s="1"/>
      <c r="D2" s="1"/>
      <c r="E2" s="1"/>
    </row>
    <row r="3" spans="1:5" ht="15.75" thickBot="1">
      <c r="A3" s="63" t="s">
        <v>270</v>
      </c>
      <c r="B3" s="64"/>
      <c r="C3" s="64"/>
      <c r="D3" s="64"/>
      <c r="E3" s="64"/>
    </row>
    <row r="4" spans="1:5" ht="12.75">
      <c r="A4" s="65" t="s">
        <v>273</v>
      </c>
      <c r="B4" s="65"/>
      <c r="C4" s="65"/>
      <c r="D4" s="65"/>
      <c r="E4" s="65"/>
    </row>
    <row r="5" spans="1:5" ht="12.75">
      <c r="A5" s="66"/>
      <c r="B5" s="66"/>
      <c r="C5" s="66"/>
      <c r="D5" s="66"/>
      <c r="E5" s="66"/>
    </row>
    <row r="7" spans="2:4" ht="14.25">
      <c r="B7" s="70" t="s">
        <v>177</v>
      </c>
      <c r="C7" s="68">
        <f>'Earth Facts'!$B$12</f>
        <v>7926</v>
      </c>
      <c r="D7" s="67" t="s">
        <v>182</v>
      </c>
    </row>
    <row r="8" spans="2:6" ht="14.25">
      <c r="B8" s="70" t="s">
        <v>178</v>
      </c>
      <c r="C8" s="68">
        <f>'Earth Facts'!$A$15</f>
        <v>13</v>
      </c>
      <c r="D8" s="67" t="s">
        <v>182</v>
      </c>
      <c r="E8" t="s">
        <v>231</v>
      </c>
      <c r="F8">
        <v>4.16818</v>
      </c>
    </row>
    <row r="9" spans="2:6" ht="14.25">
      <c r="B9" s="70" t="s">
        <v>274</v>
      </c>
      <c r="C9" s="68">
        <f>'Earth Facts'!$G$12</f>
        <v>260579713159.44</v>
      </c>
      <c r="D9" s="67" t="s">
        <v>229</v>
      </c>
      <c r="E9" t="s">
        <v>232</v>
      </c>
      <c r="F9" s="41">
        <v>1000000000</v>
      </c>
    </row>
    <row r="10" spans="2:6" ht="14.25">
      <c r="B10" s="70" t="s">
        <v>179</v>
      </c>
      <c r="C10" s="68">
        <f>'Earth Facts'!$C$15</f>
        <v>7952</v>
      </c>
      <c r="D10" s="67" t="s">
        <v>182</v>
      </c>
      <c r="E10" t="s">
        <v>253</v>
      </c>
      <c r="F10">
        <v>1000</v>
      </c>
    </row>
    <row r="11" spans="2:6" ht="14.25">
      <c r="B11" s="70" t="s">
        <v>180</v>
      </c>
      <c r="C11" s="68">
        <f>'Earth Facts'!$F$15</f>
        <v>263152507030.18665</v>
      </c>
      <c r="D11" s="67" t="s">
        <v>229</v>
      </c>
      <c r="E11" t="s">
        <v>284</v>
      </c>
      <c r="F11">
        <v>453.592</v>
      </c>
    </row>
    <row r="12" spans="2:6" ht="14.25">
      <c r="B12" s="70" t="s">
        <v>181</v>
      </c>
      <c r="C12" s="68">
        <f>'Earth Facts'!$G$15</f>
        <v>2572793870.746643</v>
      </c>
      <c r="D12" s="67" t="s">
        <v>229</v>
      </c>
      <c r="E12" t="s">
        <v>233</v>
      </c>
      <c r="F12">
        <v>0.028316</v>
      </c>
    </row>
    <row r="13" spans="2:4" ht="14.25">
      <c r="B13" s="70" t="s">
        <v>321</v>
      </c>
      <c r="C13" s="68">
        <f>SUM(C12*F8)</f>
        <v>10723867956.168743</v>
      </c>
      <c r="D13" s="67" t="s">
        <v>286</v>
      </c>
    </row>
    <row r="14" spans="2:3" ht="14.25">
      <c r="B14" s="70" t="s">
        <v>275</v>
      </c>
      <c r="C14" s="71">
        <f>SUM(C8/(C7*0.5))</f>
        <v>0.0032803431743628564</v>
      </c>
    </row>
    <row r="16" ht="12.75">
      <c r="A16" t="s">
        <v>191</v>
      </c>
    </row>
    <row r="17" ht="12.75">
      <c r="A17" s="22" t="s">
        <v>190</v>
      </c>
    </row>
    <row r="18" spans="1:9" ht="12.75">
      <c r="A18" s="2" t="s">
        <v>192</v>
      </c>
      <c r="B18" s="69" t="s">
        <v>47</v>
      </c>
      <c r="C18" s="2"/>
      <c r="D18" s="2" t="s">
        <v>226</v>
      </c>
      <c r="E18" s="2" t="s">
        <v>230</v>
      </c>
      <c r="F18" s="2" t="s">
        <v>227</v>
      </c>
      <c r="G18" s="2" t="s">
        <v>228</v>
      </c>
      <c r="H18" s="2" t="s">
        <v>252</v>
      </c>
      <c r="I18" s="2" t="s">
        <v>251</v>
      </c>
    </row>
    <row r="19" spans="1:8" ht="12.75">
      <c r="A19" t="s">
        <v>193</v>
      </c>
      <c r="B19" s="46">
        <v>0.78084</v>
      </c>
      <c r="C19" t="s">
        <v>213</v>
      </c>
      <c r="D19" s="11">
        <f>SUM($C$12*B19)</f>
        <v>2008940366.0338087</v>
      </c>
      <c r="E19" s="11">
        <f>SUM(D19*$F$8)</f>
        <v>8373625054.894802</v>
      </c>
      <c r="F19" s="47">
        <f>SUM(E19*$F$9)</f>
        <v>8.373625054894802E+18</v>
      </c>
      <c r="G19" s="47">
        <f>SUM(F19/$F$12)</f>
        <v>2.9572061925747995E+20</v>
      </c>
      <c r="H19" s="47">
        <f>SUM(F19*$F$10)</f>
        <v>8.373625054894802E+21</v>
      </c>
    </row>
    <row r="20" spans="1:10" ht="12.75">
      <c r="A20" t="s">
        <v>194</v>
      </c>
      <c r="B20" s="46">
        <v>0.20946</v>
      </c>
      <c r="C20" t="s">
        <v>214</v>
      </c>
      <c r="D20" s="11">
        <f aca="true" t="shared" si="0" ref="D20:D29">SUM($C$12*B20)</f>
        <v>538897404.1665919</v>
      </c>
      <c r="E20" s="11">
        <f>SUM(D20*$F$8)</f>
        <v>2246221382.0991054</v>
      </c>
      <c r="F20" s="47">
        <f>SUM(E20*$F$9)</f>
        <v>2.2462213820991053E+18</v>
      </c>
      <c r="G20" s="47">
        <f>SUM(F20/$F$12)</f>
        <v>7.932693113784099E+19</v>
      </c>
      <c r="H20" s="47">
        <f>SUM(F20*$F$10)</f>
        <v>2.2462213820991052E+21</v>
      </c>
      <c r="I20" t="s">
        <v>250</v>
      </c>
      <c r="J20" t="s">
        <v>249</v>
      </c>
    </row>
    <row r="21" spans="1:8" ht="12.75">
      <c r="A21" t="s">
        <v>195</v>
      </c>
      <c r="B21" s="46">
        <v>0.00934</v>
      </c>
      <c r="C21" t="s">
        <v>215</v>
      </c>
      <c r="D21" s="11">
        <f t="shared" si="0"/>
        <v>24029894.752773646</v>
      </c>
      <c r="E21" s="11">
        <f>SUM(D21*$F$8)</f>
        <v>100160926.71061607</v>
      </c>
      <c r="F21" s="47">
        <f>SUM(E21*$F$9)</f>
        <v>1.0016092671061606E+17</v>
      </c>
      <c r="G21" s="47">
        <f>SUM(F21/$F$12)</f>
        <v>3.5372554990329165E+18</v>
      </c>
      <c r="H21" s="47">
        <f>SUM(F21*$F$10)</f>
        <v>1.0016092671061606E+20</v>
      </c>
    </row>
    <row r="22" spans="1:8" ht="12.75">
      <c r="A22" t="s">
        <v>196</v>
      </c>
      <c r="B22" s="46">
        <v>0.00039</v>
      </c>
      <c r="C22" t="s">
        <v>216</v>
      </c>
      <c r="D22" s="11">
        <f t="shared" si="0"/>
        <v>1003389.6095911908</v>
      </c>
      <c r="E22" s="11">
        <f>SUM(D22*$F$8)</f>
        <v>4182308.5029058103</v>
      </c>
      <c r="F22" s="47">
        <f>SUM(E22*$F$9)</f>
        <v>4182308502905810.5</v>
      </c>
      <c r="G22" s="47">
        <f>SUM(F22/$F$12)</f>
        <v>1.4770124674762714E+17</v>
      </c>
      <c r="H22" s="47">
        <f>SUM(F22*$F$10)</f>
        <v>4.1823085029058104E+18</v>
      </c>
    </row>
    <row r="23" spans="1:8" ht="12.75">
      <c r="A23" t="s">
        <v>197</v>
      </c>
      <c r="B23" s="46">
        <v>1.818E-05</v>
      </c>
      <c r="C23" t="s">
        <v>217</v>
      </c>
      <c r="D23" s="11">
        <f t="shared" si="0"/>
        <v>46773.392570173964</v>
      </c>
      <c r="E23" s="11">
        <f>SUM(D23*$F$8)</f>
        <v>194959.91944314772</v>
      </c>
      <c r="F23" s="47">
        <f>SUM(E23*$F$9)</f>
        <v>194959919443147.72</v>
      </c>
      <c r="G23" s="47">
        <f>SUM(F23/$F$12)</f>
        <v>6885150425312463</v>
      </c>
      <c r="H23" s="47">
        <f>SUM(F23*$F$10)</f>
        <v>1.949599194431477E+17</v>
      </c>
    </row>
    <row r="24" spans="1:8" ht="12.75">
      <c r="A24" t="s">
        <v>198</v>
      </c>
      <c r="B24" s="46">
        <v>5.24E-06</v>
      </c>
      <c r="C24" t="s">
        <v>218</v>
      </c>
      <c r="D24" s="11">
        <f t="shared" si="0"/>
        <v>13481.43988271241</v>
      </c>
      <c r="E24" s="11">
        <f>SUM(D24*$F$8)</f>
        <v>56193.06809032422</v>
      </c>
      <c r="F24" s="47">
        <f>SUM(E24*$F$9)</f>
        <v>56193068090324.22</v>
      </c>
      <c r="G24" s="47">
        <f>SUM(F24/$F$12)</f>
        <v>1984498802455298</v>
      </c>
      <c r="H24" s="47">
        <f>SUM(F24*$F$10)</f>
        <v>56193068090324216</v>
      </c>
    </row>
    <row r="25" spans="1:8" ht="12.75">
      <c r="A25" t="s">
        <v>199</v>
      </c>
      <c r="B25" s="46">
        <v>1.79E-06</v>
      </c>
      <c r="C25" t="s">
        <v>219</v>
      </c>
      <c r="D25" s="11">
        <f t="shared" si="0"/>
        <v>4605.3010286364915</v>
      </c>
      <c r="E25" s="11">
        <f>SUM(D25*$F$8)</f>
        <v>19195.723641542052</v>
      </c>
      <c r="F25" s="47">
        <f>SUM(E25*$F$9)</f>
        <v>19195723641542.05</v>
      </c>
      <c r="G25" s="47">
        <f>SUM(F25/$F$12)</f>
        <v>677910850457057.9</v>
      </c>
      <c r="H25" s="47">
        <f>SUM(F25*$F$10)</f>
        <v>19195723641542052</v>
      </c>
    </row>
    <row r="26" spans="1:8" ht="12.75">
      <c r="A26" t="s">
        <v>200</v>
      </c>
      <c r="B26" s="46">
        <v>1.14E-06</v>
      </c>
      <c r="C26" t="s">
        <v>220</v>
      </c>
      <c r="D26" s="11">
        <f t="shared" si="0"/>
        <v>2932.9850126511733</v>
      </c>
      <c r="E26" s="11">
        <f>SUM(D26*$F$8)</f>
        <v>12225.209470032369</v>
      </c>
      <c r="F26" s="47">
        <f>SUM(E26*$F$9)</f>
        <v>12225209470032.37</v>
      </c>
      <c r="G26" s="47">
        <f>SUM(F26/$F$12)</f>
        <v>431742105877679.4</v>
      </c>
      <c r="H26" s="47">
        <f>SUM(F26*$F$10)</f>
        <v>12225209470032370</v>
      </c>
    </row>
    <row r="27" spans="1:8" ht="12.75">
      <c r="A27" t="s">
        <v>201</v>
      </c>
      <c r="B27" s="46">
        <v>5.5E-07</v>
      </c>
      <c r="C27" t="s">
        <v>221</v>
      </c>
      <c r="D27" s="11">
        <f t="shared" si="0"/>
        <v>1415.0366289106537</v>
      </c>
      <c r="E27" s="11">
        <f>SUM(D27*$F$8)</f>
        <v>5898.127375892809</v>
      </c>
      <c r="F27" s="47">
        <f>SUM(E27*$F$9)</f>
        <v>5898127375892.81</v>
      </c>
      <c r="G27" s="47">
        <f>SUM(F27/$F$12)</f>
        <v>208296630028704.94</v>
      </c>
      <c r="H27" s="47">
        <f>SUM(F27*$F$10)</f>
        <v>5898127375892810</v>
      </c>
    </row>
    <row r="28" spans="1:8" ht="12.75">
      <c r="A28" t="s">
        <v>202</v>
      </c>
      <c r="B28" s="46">
        <v>3E-07</v>
      </c>
      <c r="C28" t="s">
        <v>222</v>
      </c>
      <c r="D28" s="11">
        <f t="shared" si="0"/>
        <v>771.8381612239929</v>
      </c>
      <c r="E28" s="11">
        <f>SUM(D28*$F$8)</f>
        <v>3217.160386850623</v>
      </c>
      <c r="F28" s="47">
        <f>SUM(E28*$F$9)</f>
        <v>3217160386850.623</v>
      </c>
      <c r="G28" s="47">
        <f>SUM(F28/$F$12)</f>
        <v>113616343652020.88</v>
      </c>
      <c r="H28" s="47">
        <f>SUM(F28*$F$10)</f>
        <v>3217160386850623</v>
      </c>
    </row>
    <row r="29" spans="1:8" ht="12.75">
      <c r="A29" t="s">
        <v>203</v>
      </c>
      <c r="B29" s="46">
        <v>1E-07</v>
      </c>
      <c r="C29" t="s">
        <v>223</v>
      </c>
      <c r="D29" s="11">
        <f t="shared" si="0"/>
        <v>257.27938707466427</v>
      </c>
      <c r="E29" s="11">
        <f>SUM(D29*$F$8)</f>
        <v>1072.3867956168742</v>
      </c>
      <c r="F29" s="47">
        <f>SUM(E29*$F$9)</f>
        <v>1072386795616.8743</v>
      </c>
      <c r="G29" s="47">
        <f>SUM(F29/$F$12)</f>
        <v>37872114550673.62</v>
      </c>
      <c r="H29" s="47">
        <f>SUM(F29*$F$10)</f>
        <v>1072386795616874.2</v>
      </c>
    </row>
    <row r="30" spans="1:3" ht="12.75">
      <c r="A30" t="s">
        <v>204</v>
      </c>
      <c r="B30" s="34">
        <v>-9E-08</v>
      </c>
      <c r="C30" t="s">
        <v>257</v>
      </c>
    </row>
    <row r="31" spans="1:3" ht="12.75">
      <c r="A31" t="s">
        <v>205</v>
      </c>
      <c r="B31" t="s">
        <v>224</v>
      </c>
      <c r="C31" t="s">
        <v>225</v>
      </c>
    </row>
    <row r="32" spans="1:3" ht="12.75">
      <c r="A32" t="s">
        <v>206</v>
      </c>
      <c r="B32" s="34">
        <v>-2E-08</v>
      </c>
      <c r="C32" t="s">
        <v>254</v>
      </c>
    </row>
    <row r="33" spans="1:3" ht="12.75">
      <c r="A33" t="s">
        <v>207</v>
      </c>
      <c r="B33" t="s">
        <v>255</v>
      </c>
      <c r="C33" t="s">
        <v>256</v>
      </c>
    </row>
    <row r="34" spans="1:2" ht="12.75">
      <c r="A34" t="s">
        <v>208</v>
      </c>
      <c r="B34" t="s">
        <v>209</v>
      </c>
    </row>
    <row r="35" ht="12.75">
      <c r="A35" t="s">
        <v>210</v>
      </c>
    </row>
    <row r="36" spans="1:2" ht="12.75">
      <c r="A36" t="s">
        <v>211</v>
      </c>
      <c r="B36" t="s">
        <v>212</v>
      </c>
    </row>
    <row r="38" ht="14.25">
      <c r="A38" t="s">
        <v>276</v>
      </c>
    </row>
    <row r="40" spans="1:6" ht="24" thickBot="1">
      <c r="A40" s="72" t="s">
        <v>234</v>
      </c>
      <c r="B40" s="64"/>
      <c r="C40" s="64"/>
      <c r="D40" s="64"/>
      <c r="E40" s="64"/>
      <c r="F40" s="64"/>
    </row>
    <row r="41" ht="15.75">
      <c r="A41" t="s">
        <v>235</v>
      </c>
    </row>
    <row r="43" ht="15.75">
      <c r="A43" t="s">
        <v>236</v>
      </c>
    </row>
    <row r="45" spans="1:4" ht="12.75">
      <c r="A45" t="s">
        <v>237</v>
      </c>
      <c r="B45" t="s">
        <v>280</v>
      </c>
      <c r="C45" t="s">
        <v>279</v>
      </c>
      <c r="D45" t="s">
        <v>281</v>
      </c>
    </row>
    <row r="46" spans="1:4" ht="12.75">
      <c r="A46" t="s">
        <v>238</v>
      </c>
      <c r="B46" s="22" t="s">
        <v>278</v>
      </c>
      <c r="C46">
        <v>0.08988</v>
      </c>
      <c r="D46" t="s">
        <v>282</v>
      </c>
    </row>
    <row r="47" spans="1:4" ht="12.75">
      <c r="A47" t="s">
        <v>239</v>
      </c>
      <c r="B47" s="22" t="s">
        <v>278</v>
      </c>
      <c r="C47">
        <v>1.429</v>
      </c>
      <c r="D47" t="s">
        <v>282</v>
      </c>
    </row>
    <row r="48" spans="5:6" ht="12.75">
      <c r="E48" t="s">
        <v>314</v>
      </c>
      <c r="F48" s="83">
        <f>SUM(F11*C47)</f>
        <v>648.182968</v>
      </c>
    </row>
    <row r="49" spans="1:6" ht="15.75">
      <c r="A49" t="s">
        <v>240</v>
      </c>
      <c r="E49" t="s">
        <v>315</v>
      </c>
      <c r="F49">
        <f>SUM(F48/1000)</f>
        <v>0.648182968</v>
      </c>
    </row>
    <row r="50" spans="1:6" ht="15.75">
      <c r="A50" t="s">
        <v>241</v>
      </c>
      <c r="E50" t="s">
        <v>316</v>
      </c>
      <c r="F50">
        <f>SUM(E67*F49)</f>
        <v>14.260025295999998</v>
      </c>
    </row>
    <row r="51" ht="15.75">
      <c r="A51" t="s">
        <v>242</v>
      </c>
    </row>
    <row r="52" spans="6:7" ht="12.75">
      <c r="F52">
        <v>2.425</v>
      </c>
      <c r="G52">
        <f>SUM(F52^3)</f>
        <v>14.260515624999996</v>
      </c>
    </row>
    <row r="53" ht="15.75">
      <c r="A53" t="s">
        <v>243</v>
      </c>
    </row>
    <row r="54" ht="15.75">
      <c r="A54" t="s">
        <v>244</v>
      </c>
    </row>
    <row r="56" ht="12.75">
      <c r="A56" t="s">
        <v>245</v>
      </c>
    </row>
    <row r="58" ht="15.75">
      <c r="A58" t="s">
        <v>246</v>
      </c>
    </row>
    <row r="60" ht="15.75" customHeight="1">
      <c r="A60" t="s">
        <v>247</v>
      </c>
    </row>
    <row r="61" ht="12.75">
      <c r="A61" t="s">
        <v>248</v>
      </c>
    </row>
    <row r="64" ht="12.75">
      <c r="A64" t="s">
        <v>264</v>
      </c>
    </row>
    <row r="66" spans="1:17" ht="12.75">
      <c r="A66" s="22" t="s">
        <v>258</v>
      </c>
      <c r="B66" s="2" t="s">
        <v>259</v>
      </c>
      <c r="C66" s="2" t="s">
        <v>260</v>
      </c>
      <c r="D66" s="2" t="s">
        <v>265</v>
      </c>
      <c r="E66" s="2" t="s">
        <v>266</v>
      </c>
      <c r="F66" s="2" t="s">
        <v>267</v>
      </c>
      <c r="G66" s="2" t="s">
        <v>283</v>
      </c>
      <c r="H66" s="2" t="s">
        <v>277</v>
      </c>
      <c r="I66" s="1" t="s">
        <v>285</v>
      </c>
      <c r="J66" s="2" t="s">
        <v>286</v>
      </c>
      <c r="K66" s="2" t="s">
        <v>287</v>
      </c>
      <c r="L66" s="2" t="s">
        <v>288</v>
      </c>
      <c r="M66" s="2" t="s">
        <v>289</v>
      </c>
      <c r="N66" s="2" t="s">
        <v>290</v>
      </c>
      <c r="O66" s="2" t="s">
        <v>291</v>
      </c>
      <c r="P66" s="2" t="s">
        <v>312</v>
      </c>
      <c r="Q66" s="2" t="s">
        <v>292</v>
      </c>
    </row>
    <row r="67" spans="2:17" ht="12.75">
      <c r="B67" s="73">
        <v>84249000</v>
      </c>
      <c r="C67" s="38">
        <f>SUM(B67*D70)</f>
        <v>3539637879.2930975</v>
      </c>
      <c r="D67">
        <f>SUM(C67/B67)</f>
        <v>42.01400466822274</v>
      </c>
      <c r="E67">
        <v>22</v>
      </c>
      <c r="F67" s="41">
        <f>SUM(C67*E67)</f>
        <v>77872033344.44815</v>
      </c>
      <c r="G67" s="41">
        <f>SUM(F67*F11)</f>
        <v>35322131348774.92</v>
      </c>
      <c r="H67">
        <v>1.429</v>
      </c>
      <c r="I67" s="11">
        <f>SUM(G67*H67)</f>
        <v>50475325697399.37</v>
      </c>
      <c r="J67" s="11">
        <f>SUM(I67/1000)</f>
        <v>50475325697.39937</v>
      </c>
      <c r="K67" s="11">
        <f>SUM(J67/1000000)</f>
        <v>50475.32569739937</v>
      </c>
      <c r="L67" s="11">
        <f>SUM(K67*365)</f>
        <v>18423493.87955077</v>
      </c>
      <c r="M67" s="11">
        <f>$E$20</f>
        <v>2246221382.0991054</v>
      </c>
      <c r="N67" s="74">
        <f>SUM(L67/M67)</f>
        <v>0.008201993813420972</v>
      </c>
      <c r="O67">
        <f>'Planetary Facts'!$D$12</f>
        <v>33</v>
      </c>
      <c r="P67" s="11">
        <f>SUM(L67*O67)</f>
        <v>607975298.0251755</v>
      </c>
      <c r="Q67" s="37">
        <f>SUM(P67/M67)</f>
        <v>0.27066579584289213</v>
      </c>
    </row>
    <row r="69" spans="1:17" ht="12.75">
      <c r="A69" s="22" t="s">
        <v>261</v>
      </c>
      <c r="B69" s="2" t="s">
        <v>262</v>
      </c>
      <c r="C69" s="2" t="s">
        <v>260</v>
      </c>
      <c r="D69" s="2" t="s">
        <v>265</v>
      </c>
      <c r="E69" s="2" t="s">
        <v>266</v>
      </c>
      <c r="F69" s="2" t="s">
        <v>267</v>
      </c>
      <c r="G69" s="2"/>
      <c r="H69" s="2" t="s">
        <v>277</v>
      </c>
      <c r="I69" s="1" t="s">
        <v>285</v>
      </c>
      <c r="J69" s="2" t="s">
        <v>286</v>
      </c>
      <c r="K69" s="2" t="s">
        <v>287</v>
      </c>
      <c r="L69" s="2" t="s">
        <v>288</v>
      </c>
      <c r="M69" s="2" t="s">
        <v>289</v>
      </c>
      <c r="N69" s="2" t="s">
        <v>290</v>
      </c>
      <c r="O69" s="2" t="s">
        <v>291</v>
      </c>
      <c r="P69" s="2" t="s">
        <v>312</v>
      </c>
      <c r="Q69" s="2" t="s">
        <v>292</v>
      </c>
    </row>
    <row r="70" spans="1:17" ht="12.75">
      <c r="A70" s="23" t="s">
        <v>263</v>
      </c>
      <c r="B70" s="20">
        <v>8997000</v>
      </c>
      <c r="C70" s="41">
        <v>378000000</v>
      </c>
      <c r="D70">
        <f>SUM(C70/B70)</f>
        <v>42.01400466822274</v>
      </c>
      <c r="E70">
        <v>22</v>
      </c>
      <c r="F70" s="41">
        <f>SUM(C70*E70)</f>
        <v>8316000000</v>
      </c>
      <c r="G70" s="41">
        <f>SUM(F70*F11)</f>
        <v>3772071072000</v>
      </c>
      <c r="H70">
        <v>1.429</v>
      </c>
      <c r="I70" s="11">
        <f>SUM(G70*H70)</f>
        <v>5390289561888</v>
      </c>
      <c r="J70" s="11">
        <f>SUM(I70/1000)</f>
        <v>5390289561.888</v>
      </c>
      <c r="K70" s="11">
        <f>SUM(J70/1000000)</f>
        <v>5390.289561887999</v>
      </c>
      <c r="L70" s="11">
        <f>SUM(K70*365)</f>
        <v>1967455.6900891198</v>
      </c>
      <c r="M70" s="11">
        <f>$E$20</f>
        <v>2246221382.0991054</v>
      </c>
      <c r="N70" s="74">
        <f>SUM(L70/M70)</f>
        <v>0.0008758957179236369</v>
      </c>
      <c r="O70">
        <f>'Planetary Facts'!$D$12</f>
        <v>33</v>
      </c>
      <c r="P70" s="11">
        <f>SUM(L70*O70)</f>
        <v>64926037.772940956</v>
      </c>
      <c r="Q70" s="37">
        <f>SUM(P70/M70)</f>
        <v>0.02890455869148002</v>
      </c>
    </row>
    <row r="71" ht="12.75">
      <c r="C71" s="41"/>
    </row>
  </sheetData>
  <mergeCells count="1">
    <mergeCell ref="A4:E5"/>
  </mergeCells>
  <hyperlinks>
    <hyperlink ref="A17" r:id="rId1" display="http://en.wikipedia.org/wiki/Earth%27s_atmosphere"/>
    <hyperlink ref="A66" r:id="rId2" display="http://www.eia.gov/emeu/ipsr/t17.xls"/>
    <hyperlink ref="A69" r:id="rId3" display="http://www.eia.gov/dnav/pet/pet_cons_psup_dc_nus_mbblpd_a.htm"/>
    <hyperlink ref="B47" r:id="rId4" tooltip="Density" display="http://en.wikipedia.org/wiki/Density"/>
    <hyperlink ref="B46" r:id="rId5" tooltip="Density" display="http://en.wikipedia.org/wiki/Density"/>
  </hyperlinks>
  <printOptions/>
  <pageMargins left="0.5" right="0.5" top="0.5" bottom="0.5" header="0.5" footer="0.5"/>
  <pageSetup fitToWidth="2" fitToHeight="1" horizontalDpi="600" verticalDpi="600" orientation="landscape" scale="57" r:id="rId6"/>
</worksheet>
</file>

<file path=xl/worksheets/sheet3.xml><?xml version="1.0" encoding="utf-8"?>
<worksheet xmlns="http://schemas.openxmlformats.org/spreadsheetml/2006/main" xmlns:r="http://schemas.openxmlformats.org/officeDocument/2006/relationships">
  <sheetPr>
    <pageSetUpPr fitToPage="1"/>
  </sheetPr>
  <dimension ref="A2:K49"/>
  <sheetViews>
    <sheetView workbookViewId="0" topLeftCell="A1">
      <selection activeCell="G15" sqref="G15"/>
    </sheetView>
  </sheetViews>
  <sheetFormatPr defaultColWidth="9.140625" defaultRowHeight="12.75"/>
  <cols>
    <col min="1" max="1" width="14.140625" style="0" customWidth="1"/>
    <col min="2" max="2" width="15.57421875" style="0" customWidth="1"/>
    <col min="3" max="3" width="21.8515625" style="0" customWidth="1"/>
    <col min="4" max="4" width="20.7109375" style="0" customWidth="1"/>
    <col min="5" max="5" width="18.140625" style="0" customWidth="1"/>
    <col min="6" max="6" width="18.57421875" style="0" customWidth="1"/>
    <col min="7" max="7" width="29.140625" style="0" bestFit="1" customWidth="1"/>
    <col min="8" max="8" width="15.00390625" style="0" customWidth="1"/>
    <col min="9" max="9" width="11.140625" style="0" bestFit="1" customWidth="1"/>
    <col min="10" max="10" width="14.57421875" style="0" customWidth="1"/>
    <col min="11" max="11" width="13.7109375" style="0" customWidth="1"/>
  </cols>
  <sheetData>
    <row r="2" ht="12.75">
      <c r="A2" s="30" t="s">
        <v>135</v>
      </c>
    </row>
    <row r="3" ht="12.75">
      <c r="A3" t="s">
        <v>149</v>
      </c>
    </row>
    <row r="4" ht="12.75">
      <c r="A4" t="s">
        <v>167</v>
      </c>
    </row>
    <row r="5" ht="12.75">
      <c r="A5" t="s">
        <v>169</v>
      </c>
    </row>
    <row r="6" ht="12.75">
      <c r="A6" t="s">
        <v>170</v>
      </c>
    </row>
    <row r="7" ht="12.75">
      <c r="A7" t="s">
        <v>171</v>
      </c>
    </row>
    <row r="8" ht="14.25">
      <c r="A8" t="s">
        <v>183</v>
      </c>
    </row>
    <row r="11" spans="1:7" ht="12.75">
      <c r="A11" s="2" t="s">
        <v>174</v>
      </c>
      <c r="B11" s="2" t="s">
        <v>175</v>
      </c>
      <c r="C11" s="2" t="s">
        <v>166</v>
      </c>
      <c r="D11" s="2" t="s">
        <v>168</v>
      </c>
      <c r="E11" s="2" t="s">
        <v>173</v>
      </c>
      <c r="F11" s="2" t="s">
        <v>172</v>
      </c>
      <c r="G11" s="42" t="s">
        <v>184</v>
      </c>
    </row>
    <row r="12" spans="1:7" ht="12.75">
      <c r="A12">
        <f>SUM(B12*0.5)</f>
        <v>3963</v>
      </c>
      <c r="B12">
        <v>7926</v>
      </c>
      <c r="C12">
        <f>SUM(B12*3.14)</f>
        <v>24887.64</v>
      </c>
      <c r="D12" s="38">
        <f>SUM(3.14*A12^2)</f>
        <v>49314858.660000004</v>
      </c>
      <c r="E12" s="38">
        <f>SUM(3.14*(B12*B12))</f>
        <v>197259434.64000002</v>
      </c>
      <c r="F12" s="11">
        <f>SUM(E12*2.58998811)</f>
        <v>510899590.3029222</v>
      </c>
      <c r="G12" s="43">
        <f>SUM(4/3*3.14*A12^3)</f>
        <v>260579713159.44</v>
      </c>
    </row>
    <row r="13" spans="4:7" ht="12.75">
      <c r="D13" s="38"/>
      <c r="E13" s="38"/>
      <c r="F13" s="11"/>
      <c r="G13" s="43"/>
    </row>
    <row r="14" spans="1:7" ht="12.75">
      <c r="A14" s="1" t="s">
        <v>185</v>
      </c>
      <c r="B14" s="1"/>
      <c r="C14" s="2" t="s">
        <v>186</v>
      </c>
      <c r="D14" s="2" t="s">
        <v>188</v>
      </c>
      <c r="E14" s="44"/>
      <c r="F14" s="45" t="s">
        <v>187</v>
      </c>
      <c r="G14" s="2" t="s">
        <v>189</v>
      </c>
    </row>
    <row r="15" spans="1:7" ht="12.75">
      <c r="A15" s="75">
        <f>'Planetary Facts'!$D$13</f>
        <v>13</v>
      </c>
      <c r="C15">
        <f>SUM(B12+A15*2)</f>
        <v>7952</v>
      </c>
      <c r="D15">
        <f>SUM(C15*0.5)</f>
        <v>3976</v>
      </c>
      <c r="E15" s="38"/>
      <c r="F15" s="38">
        <f>SUM(4/3*3.14*D15^3)</f>
        <v>263152507030.18665</v>
      </c>
      <c r="G15" s="11">
        <f>SUM(F15-G12)</f>
        <v>2572793870.746643</v>
      </c>
    </row>
    <row r="16" spans="4:7" ht="12.75">
      <c r="D16" s="38"/>
      <c r="E16" s="38"/>
      <c r="F16" s="11"/>
      <c r="G16" s="43"/>
    </row>
    <row r="17" spans="4:7" ht="12.75">
      <c r="D17" s="38"/>
      <c r="E17" s="38"/>
      <c r="F17" s="11"/>
      <c r="G17" s="43"/>
    </row>
    <row r="18" ht="12.75">
      <c r="A18" t="s">
        <v>136</v>
      </c>
    </row>
    <row r="19" ht="12.75">
      <c r="A19" t="s">
        <v>137</v>
      </c>
    </row>
    <row r="20" spans="1:11" ht="12.75">
      <c r="A20" s="2" t="s">
        <v>138</v>
      </c>
      <c r="B20" s="2" t="s">
        <v>139</v>
      </c>
      <c r="C20" s="2" t="s">
        <v>140</v>
      </c>
      <c r="D20" s="2" t="s">
        <v>141</v>
      </c>
      <c r="E20" s="2" t="s">
        <v>142</v>
      </c>
      <c r="F20" s="2" t="s">
        <v>143</v>
      </c>
      <c r="G20" s="2" t="s">
        <v>144</v>
      </c>
      <c r="H20" s="2" t="s">
        <v>145</v>
      </c>
      <c r="I20" s="2" t="s">
        <v>157</v>
      </c>
      <c r="J20" s="2" t="s">
        <v>158</v>
      </c>
      <c r="K20" s="2" t="s">
        <v>156</v>
      </c>
    </row>
    <row r="21" spans="1:11" ht="12.75">
      <c r="A21">
        <v>5</v>
      </c>
      <c r="B21">
        <v>300</v>
      </c>
      <c r="C21">
        <f>SUM(A21*B21)</f>
        <v>1500</v>
      </c>
      <c r="D21">
        <f>SUM(C21/(3*3))</f>
        <v>166.66666666666666</v>
      </c>
      <c r="E21" s="39">
        <v>2000</v>
      </c>
      <c r="F21" s="39">
        <f>SUM(E21/D21)</f>
        <v>12</v>
      </c>
      <c r="G21" s="39">
        <f>SUM(E21/C21)</f>
        <v>1.3333333333333333</v>
      </c>
      <c r="H21" s="39">
        <f>SUM((5280*5280)*G21)</f>
        <v>37171200</v>
      </c>
      <c r="I21">
        <v>342</v>
      </c>
      <c r="J21" s="40">
        <v>1</v>
      </c>
      <c r="K21">
        <f>SUM(I21*J21)</f>
        <v>342</v>
      </c>
    </row>
    <row r="24" spans="1:6" ht="15.75" thickBot="1">
      <c r="A24" s="63" t="s">
        <v>146</v>
      </c>
      <c r="B24" s="64"/>
      <c r="C24" s="64"/>
      <c r="D24" s="64"/>
      <c r="E24" s="64"/>
      <c r="F24" s="64"/>
    </row>
    <row r="25" spans="1:5" ht="12.75">
      <c r="A25" t="s">
        <v>150</v>
      </c>
      <c r="C25">
        <v>1353</v>
      </c>
      <c r="D25" t="s">
        <v>152</v>
      </c>
      <c r="E25" t="s">
        <v>153</v>
      </c>
    </row>
    <row r="26" spans="1:4" ht="12.75">
      <c r="A26" t="s">
        <v>151</v>
      </c>
      <c r="C26">
        <v>350</v>
      </c>
      <c r="D26" t="s">
        <v>155</v>
      </c>
    </row>
    <row r="27" spans="1:3" ht="12.75">
      <c r="A27" t="s">
        <v>176</v>
      </c>
      <c r="C27" s="38"/>
    </row>
    <row r="30" spans="1:7" ht="12.75">
      <c r="A30" s="2" t="s">
        <v>156</v>
      </c>
      <c r="B30" s="2" t="s">
        <v>164</v>
      </c>
      <c r="C30" s="2" t="s">
        <v>159</v>
      </c>
      <c r="D30" s="2" t="s">
        <v>160</v>
      </c>
      <c r="E30" s="2" t="s">
        <v>165</v>
      </c>
      <c r="F30" s="2"/>
      <c r="G30" s="2"/>
    </row>
    <row r="31" spans="1:5" ht="12.75">
      <c r="A31">
        <f>$K$21</f>
        <v>342</v>
      </c>
      <c r="B31" s="41">
        <f>SUM((5280*5280/(3*3)))</f>
        <v>3097600</v>
      </c>
      <c r="C31" s="38">
        <f>SUM(A31*B31)</f>
        <v>1059379200</v>
      </c>
      <c r="D31" s="38">
        <f>SUM(C31*3414)</f>
        <v>3616720588800</v>
      </c>
      <c r="E31" s="11">
        <f>SUM(D31/142)</f>
        <v>25469863301.40845</v>
      </c>
    </row>
    <row r="33" ht="12.75">
      <c r="A33" t="s">
        <v>161</v>
      </c>
    </row>
    <row r="34" ht="12.75">
      <c r="A34" t="s">
        <v>162</v>
      </c>
    </row>
    <row r="35" ht="12.75">
      <c r="A35" t="s">
        <v>147</v>
      </c>
    </row>
    <row r="36" ht="12.75">
      <c r="A36" s="22" t="s">
        <v>148</v>
      </c>
    </row>
    <row r="45" ht="12.75">
      <c r="A45" t="s">
        <v>154</v>
      </c>
    </row>
    <row r="49" ht="12.75">
      <c r="A49" t="s">
        <v>163</v>
      </c>
    </row>
  </sheetData>
  <hyperlinks>
    <hyperlink ref="A36" r:id="rId1" display="http://en.wikipedia.org/wiki/Solar_constant"/>
  </hyperlinks>
  <printOptions/>
  <pageMargins left="0.5" right="0.5" top="1" bottom="1" header="0.5" footer="0.5"/>
  <pageSetup fitToWidth="2" fitToHeight="1" horizontalDpi="600" verticalDpi="600" orientation="landscape" scale="65"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3:R47"/>
  <sheetViews>
    <sheetView workbookViewId="0" topLeftCell="A1">
      <selection activeCell="B25" sqref="B25"/>
    </sheetView>
  </sheetViews>
  <sheetFormatPr defaultColWidth="9.140625" defaultRowHeight="12.75"/>
  <cols>
    <col min="1" max="1" width="26.8515625" style="0" customWidth="1"/>
    <col min="2" max="2" width="27.28125" style="0" bestFit="1" customWidth="1"/>
    <col min="3" max="3" width="31.8515625" style="0" customWidth="1"/>
    <col min="4" max="4" width="33.140625" style="0" customWidth="1"/>
    <col min="5" max="5" width="28.8515625" style="0" customWidth="1"/>
    <col min="6" max="6" width="27.00390625" style="0" customWidth="1"/>
    <col min="7" max="7" width="32.7109375" style="0" customWidth="1"/>
    <col min="8" max="8" width="22.421875" style="0" bestFit="1" customWidth="1"/>
    <col min="9" max="9" width="25.140625" style="0" customWidth="1"/>
    <col min="10" max="10" width="39.8515625" style="0" customWidth="1"/>
    <col min="11" max="11" width="20.140625" style="0" customWidth="1"/>
    <col min="12" max="12" width="20.00390625" style="0" bestFit="1" customWidth="1"/>
    <col min="13" max="13" width="20.28125" style="0" bestFit="1" customWidth="1"/>
    <col min="14" max="14" width="24.421875" style="0" bestFit="1" customWidth="1"/>
    <col min="15" max="15" width="23.00390625" style="0" bestFit="1" customWidth="1"/>
    <col min="16" max="17" width="53.421875" style="0" bestFit="1" customWidth="1"/>
    <col min="18" max="18" width="34.140625" style="0" bestFit="1" customWidth="1"/>
  </cols>
  <sheetData>
    <row r="3" spans="1:18" ht="12.75">
      <c r="A3" s="1" t="s">
        <v>0</v>
      </c>
      <c r="B3" s="2" t="s">
        <v>1</v>
      </c>
      <c r="C3" s="2" t="s">
        <v>2</v>
      </c>
      <c r="D3" s="2" t="s">
        <v>3</v>
      </c>
      <c r="E3" s="2" t="s">
        <v>4</v>
      </c>
      <c r="F3" s="2" t="s">
        <v>5</v>
      </c>
      <c r="G3" s="2" t="s">
        <v>6</v>
      </c>
      <c r="H3" s="2" t="s">
        <v>7</v>
      </c>
      <c r="I3" s="2" t="s">
        <v>8</v>
      </c>
      <c r="J3" s="2" t="s">
        <v>9</v>
      </c>
      <c r="K3" s="2" t="s">
        <v>10</v>
      </c>
      <c r="L3" s="2" t="s">
        <v>11</v>
      </c>
      <c r="M3" s="2" t="s">
        <v>12</v>
      </c>
      <c r="N3" s="2" t="s">
        <v>13</v>
      </c>
      <c r="O3" s="2" t="s">
        <v>14</v>
      </c>
      <c r="P3" s="2" t="s">
        <v>15</v>
      </c>
      <c r="Q3" s="2" t="s">
        <v>16</v>
      </c>
      <c r="R3" s="2" t="s">
        <v>17</v>
      </c>
    </row>
    <row r="4" spans="1:18" ht="12.75">
      <c r="A4" s="3">
        <v>500000</v>
      </c>
      <c r="B4" s="4">
        <f>SUM(A4/5)</f>
        <v>100000</v>
      </c>
      <c r="C4" s="5">
        <f>SUM(11000*12)</f>
        <v>132000</v>
      </c>
      <c r="D4" s="6">
        <f>SUM(B4*C4)</f>
        <v>13200000000</v>
      </c>
      <c r="E4" s="6">
        <f>SUM(D4*365)</f>
        <v>4818000000000</v>
      </c>
      <c r="F4" s="7">
        <v>200</v>
      </c>
      <c r="G4" s="8">
        <f>SUM(B4*F4)</f>
        <v>20000000</v>
      </c>
      <c r="H4" s="9">
        <v>8</v>
      </c>
      <c r="I4" s="10">
        <f>SUM(G4*1000000)/H4</f>
        <v>2500000000000</v>
      </c>
      <c r="J4" s="7">
        <v>12</v>
      </c>
      <c r="K4" s="11">
        <f>SUM(I4/J4)</f>
        <v>208333333333.33334</v>
      </c>
      <c r="L4" s="11">
        <f>SUM(K4/5280)</f>
        <v>39457070.70707071</v>
      </c>
      <c r="M4" s="11">
        <v>43560</v>
      </c>
      <c r="N4" s="10">
        <f>SUM(I4/M4)</f>
        <v>57392102.8466483</v>
      </c>
      <c r="O4" s="11">
        <f>$E$13</f>
        <v>36807467661.616165</v>
      </c>
      <c r="P4" s="12">
        <f>SUM(N4/O4)</f>
        <v>0.001559251600090336</v>
      </c>
      <c r="Q4" s="10">
        <f>SUM((160000*5280*12))/43560</f>
        <v>232727.27272727274</v>
      </c>
      <c r="R4" s="13">
        <f>SUM(Q4/N4)</f>
        <v>0.00405504</v>
      </c>
    </row>
    <row r="5" ht="12.75">
      <c r="Q5" s="13"/>
    </row>
    <row r="7" spans="1:3" ht="15">
      <c r="A7" s="62" t="s">
        <v>271</v>
      </c>
      <c r="C7" s="14">
        <v>361800000</v>
      </c>
    </row>
    <row r="8" spans="1:14" ht="12.75">
      <c r="A8" s="1" t="s">
        <v>18</v>
      </c>
      <c r="B8" s="1" t="s">
        <v>19</v>
      </c>
      <c r="C8" s="1" t="s">
        <v>20</v>
      </c>
      <c r="D8" s="1" t="s">
        <v>21</v>
      </c>
      <c r="E8" s="1" t="s">
        <v>22</v>
      </c>
      <c r="F8" s="1" t="s">
        <v>23</v>
      </c>
      <c r="G8" s="1" t="s">
        <v>24</v>
      </c>
      <c r="H8" s="1" t="s">
        <v>25</v>
      </c>
      <c r="I8" s="1" t="s">
        <v>26</v>
      </c>
      <c r="J8" s="1" t="s">
        <v>27</v>
      </c>
      <c r="K8" s="1" t="s">
        <v>28</v>
      </c>
      <c r="L8" s="1" t="s">
        <v>29</v>
      </c>
      <c r="M8" s="1" t="s">
        <v>30</v>
      </c>
      <c r="N8" s="1" t="s">
        <v>31</v>
      </c>
    </row>
    <row r="9" spans="1:14" ht="12.75">
      <c r="A9" s="6">
        <f>SUM(3281*3281)</f>
        <v>10764961</v>
      </c>
      <c r="B9" s="15">
        <v>362000000</v>
      </c>
      <c r="C9" s="6">
        <f>SUM(A9*top)</f>
        <v>3896915882000000</v>
      </c>
      <c r="D9" s="6">
        <f>SUM(C9*144)</f>
        <v>5.61155887008E+17</v>
      </c>
      <c r="E9" s="11">
        <f>$D$4</f>
        <v>13200000000</v>
      </c>
      <c r="F9" s="11">
        <f>SUM(E9*365)</f>
        <v>4818000000000</v>
      </c>
      <c r="G9" s="16">
        <v>7.692307695</v>
      </c>
      <c r="H9" s="11">
        <f>SUM(E9/G9)</f>
        <v>1715999999.3994</v>
      </c>
      <c r="I9" s="11">
        <f>SUM(H9*1728)</f>
        <v>2965247998962.163</v>
      </c>
      <c r="J9">
        <v>144</v>
      </c>
      <c r="K9" s="17">
        <f>SUM((I9/J9)/D9)</f>
        <v>3.6695685583174206E-08</v>
      </c>
      <c r="L9" s="18">
        <f>SUM(K9/12)</f>
        <v>3.0579737985978506E-09</v>
      </c>
      <c r="M9" s="18">
        <f>SUM(L9*365)</f>
        <v>1.1161604364882154E-06</v>
      </c>
      <c r="N9" s="19">
        <f>SUM(1/M9)</f>
        <v>895928.5487185946</v>
      </c>
    </row>
    <row r="10" spans="1:14" ht="12.75">
      <c r="A10" s="6"/>
      <c r="B10" s="15"/>
      <c r="C10" s="6"/>
      <c r="D10" s="6"/>
      <c r="E10" s="11"/>
      <c r="F10" s="11"/>
      <c r="G10" s="16"/>
      <c r="H10" s="11"/>
      <c r="I10" s="11"/>
      <c r="K10" s="17"/>
      <c r="L10" s="18"/>
      <c r="M10" s="18"/>
      <c r="N10" s="19"/>
    </row>
    <row r="11" ht="12.75">
      <c r="C11" s="20"/>
    </row>
    <row r="12" spans="1:5" ht="12.75">
      <c r="A12" s="2" t="s">
        <v>272</v>
      </c>
      <c r="B12" s="2" t="s">
        <v>32</v>
      </c>
      <c r="C12" s="2" t="s">
        <v>33</v>
      </c>
      <c r="D12" s="2" t="s">
        <v>34</v>
      </c>
      <c r="E12" s="2" t="s">
        <v>35</v>
      </c>
    </row>
    <row r="13" spans="1:13" ht="12.75">
      <c r="A13" s="6">
        <f>SUM(3281*3281)</f>
        <v>10764961</v>
      </c>
      <c r="B13" s="20">
        <v>148940000</v>
      </c>
      <c r="C13" s="6">
        <f>SUM(A13*B13)</f>
        <v>1603333291340000</v>
      </c>
      <c r="D13" s="6">
        <f>SUM(C13*144)</f>
        <v>2.3087999395296E+17</v>
      </c>
      <c r="E13" s="11">
        <f>SUM(C13/43560)</f>
        <v>36807467661.616165</v>
      </c>
      <c r="F13" s="16"/>
      <c r="G13" s="11"/>
      <c r="H13" s="11"/>
      <c r="J13" s="17"/>
      <c r="K13" s="18"/>
      <c r="L13" s="18"/>
      <c r="M13" s="19"/>
    </row>
    <row r="15" spans="1:5" ht="12.75">
      <c r="A15" t="s">
        <v>36</v>
      </c>
      <c r="D15" t="s">
        <v>37</v>
      </c>
      <c r="E15" t="s">
        <v>38</v>
      </c>
    </row>
    <row r="16" spans="1:4" ht="12.75">
      <c r="A16" s="20">
        <v>400000</v>
      </c>
      <c r="C16">
        <v>10000</v>
      </c>
      <c r="D16">
        <f>SUM(A16/C16)</f>
        <v>40</v>
      </c>
    </row>
    <row r="17" ht="12.75">
      <c r="A17" s="20"/>
    </row>
    <row r="18" ht="12.75">
      <c r="A18" s="20"/>
    </row>
    <row r="19" ht="15">
      <c r="A19" s="62" t="s">
        <v>58</v>
      </c>
    </row>
    <row r="20" spans="1:6" ht="12.75">
      <c r="A20" s="1" t="s">
        <v>65</v>
      </c>
      <c r="B20" s="1" t="s">
        <v>59</v>
      </c>
      <c r="C20" s="1" t="s">
        <v>60</v>
      </c>
      <c r="D20" s="1" t="s">
        <v>61</v>
      </c>
      <c r="E20" s="1" t="s">
        <v>62</v>
      </c>
      <c r="F20" s="1"/>
    </row>
    <row r="21" spans="1:4" ht="12.75">
      <c r="A21" s="24">
        <v>7.497</v>
      </c>
      <c r="B21">
        <f>SUM(A21*7.692307695)</f>
        <v>57.669230789415</v>
      </c>
      <c r="C21" s="20">
        <f>'Greenland Ice Sheet'!$K$3</f>
        <v>1.2234053727999998E+17</v>
      </c>
      <c r="D21" s="20">
        <f>SUM(C21*B21)</f>
        <v>7.055284679301349E+18</v>
      </c>
    </row>
    <row r="25" ht="12.75">
      <c r="A25" t="s">
        <v>39</v>
      </c>
    </row>
    <row r="26" ht="12.75">
      <c r="A26" t="s">
        <v>40</v>
      </c>
    </row>
    <row r="27" ht="12.75">
      <c r="A27" t="s">
        <v>41</v>
      </c>
    </row>
    <row r="28" spans="1:2" ht="12.75">
      <c r="A28">
        <v>0.13</v>
      </c>
      <c r="B28">
        <f>SUM(12*A28)</f>
        <v>1.56</v>
      </c>
    </row>
    <row r="29" ht="12.75">
      <c r="A29" t="s">
        <v>42</v>
      </c>
    </row>
    <row r="31" ht="12.75">
      <c r="A31" t="s">
        <v>52</v>
      </c>
    </row>
    <row r="32" ht="12.75">
      <c r="A32" t="s">
        <v>43</v>
      </c>
    </row>
    <row r="34" spans="1:3" ht="12.75">
      <c r="A34" s="2" t="s">
        <v>44</v>
      </c>
      <c r="B34" s="2" t="s">
        <v>45</v>
      </c>
      <c r="C34" s="2" t="s">
        <v>46</v>
      </c>
    </row>
    <row r="35" spans="1:3" ht="12.75">
      <c r="A35">
        <v>12</v>
      </c>
      <c r="B35">
        <v>12</v>
      </c>
      <c r="C35">
        <v>1</v>
      </c>
    </row>
    <row r="37" ht="12.75">
      <c r="A37" s="21" t="s">
        <v>47</v>
      </c>
    </row>
    <row r="38" ht="12.75">
      <c r="A38">
        <f>SUM(A35*B35*C35)</f>
        <v>144</v>
      </c>
    </row>
    <row r="39" ht="12.75">
      <c r="A39" t="s">
        <v>48</v>
      </c>
    </row>
    <row r="40" ht="12.75">
      <c r="A40" t="s">
        <v>53</v>
      </c>
    </row>
    <row r="41" ht="12.75">
      <c r="A41" t="s">
        <v>57</v>
      </c>
    </row>
    <row r="42" ht="12.75">
      <c r="A42" t="s">
        <v>54</v>
      </c>
    </row>
    <row r="43" ht="12.75">
      <c r="A43" s="22" t="s">
        <v>55</v>
      </c>
    </row>
    <row r="44" ht="12.75">
      <c r="A44" s="22" t="s">
        <v>56</v>
      </c>
    </row>
    <row r="45" ht="12.75">
      <c r="A45" t="s">
        <v>49</v>
      </c>
    </row>
    <row r="46" ht="12.75">
      <c r="A46" s="22" t="s">
        <v>50</v>
      </c>
    </row>
    <row r="47" ht="12.75">
      <c r="A47" t="s">
        <v>51</v>
      </c>
    </row>
  </sheetData>
  <hyperlinks>
    <hyperlink ref="A43" r:id="rId1" display="http://en.wikipedia.org/wiki/World_Ocean_Atlas"/>
    <hyperlink ref="A46" r:id="rId2" display="http://www.cia.gov/cia/publications/factbook/geos/xx.html"/>
  </hyperlinks>
  <printOptions/>
  <pageMargins left="0.75" right="0.75" top="1" bottom="1" header="0.5" footer="0.5"/>
  <pageSetup fitToWidth="4" fitToHeight="1" horizontalDpi="600" verticalDpi="600" orientation="landscape" scale="80" r:id="rId3"/>
</worksheet>
</file>

<file path=xl/worksheets/sheet5.xml><?xml version="1.0" encoding="utf-8"?>
<worksheet xmlns="http://schemas.openxmlformats.org/spreadsheetml/2006/main" xmlns:r="http://schemas.openxmlformats.org/officeDocument/2006/relationships">
  <dimension ref="A2:K30"/>
  <sheetViews>
    <sheetView workbookViewId="0" topLeftCell="A1">
      <pane xSplit="14955" topLeftCell="L1" activePane="topLeft" state="split"/>
      <selection pane="topLeft" activeCell="J16" sqref="J16"/>
      <selection pane="topRight" activeCell="L1" sqref="L1"/>
    </sheetView>
  </sheetViews>
  <sheetFormatPr defaultColWidth="9.140625" defaultRowHeight="12.75"/>
  <cols>
    <col min="2" max="2" width="19.00390625" style="0" customWidth="1"/>
    <col min="3" max="3" width="11.7109375" style="0" customWidth="1"/>
    <col min="5" max="5" width="12.8515625" style="0" bestFit="1" customWidth="1"/>
    <col min="6" max="6" width="4.8515625" style="0" bestFit="1" customWidth="1"/>
    <col min="7" max="7" width="16.140625" style="0" customWidth="1"/>
    <col min="8" max="8" width="4.7109375" style="0" customWidth="1"/>
    <col min="9" max="9" width="13.421875" style="0" customWidth="1"/>
    <col min="10" max="10" width="22.140625" style="0" customWidth="1"/>
    <col min="11" max="11" width="22.28125" style="0" bestFit="1" customWidth="1"/>
  </cols>
  <sheetData>
    <row r="2" spans="1:11" ht="12.75">
      <c r="A2" s="1" t="s">
        <v>115</v>
      </c>
      <c r="B2" s="1"/>
      <c r="C2" s="1"/>
      <c r="D2" s="1" t="s">
        <v>120</v>
      </c>
      <c r="E2" s="1" t="s">
        <v>121</v>
      </c>
      <c r="F2" s="1"/>
      <c r="G2" s="1" t="s">
        <v>123</v>
      </c>
      <c r="H2" s="1"/>
      <c r="I2" s="1" t="s">
        <v>126</v>
      </c>
      <c r="J2" s="1" t="s">
        <v>125</v>
      </c>
      <c r="K2" s="1" t="s">
        <v>127</v>
      </c>
    </row>
    <row r="3" spans="1:11" ht="12.75">
      <c r="A3" s="35" t="s">
        <v>116</v>
      </c>
      <c r="B3" s="36">
        <v>2166086</v>
      </c>
      <c r="C3" t="s">
        <v>119</v>
      </c>
      <c r="D3" s="37">
        <v>0.8</v>
      </c>
      <c r="E3" s="38">
        <f>SUM(D3*B3)</f>
        <v>1732868.8</v>
      </c>
      <c r="F3" t="s">
        <v>122</v>
      </c>
      <c r="G3">
        <v>2</v>
      </c>
      <c r="H3" t="s">
        <v>124</v>
      </c>
      <c r="I3" s="11">
        <f>SUM(G3*E3)</f>
        <v>3465737.6</v>
      </c>
      <c r="J3" s="20">
        <f>SUM(I3*(1000*1000*1000))</f>
        <v>3465737600000000</v>
      </c>
      <c r="K3" s="20">
        <f>SUM(J3*35.3)</f>
        <v>1.2234053727999998E+17</v>
      </c>
    </row>
    <row r="4" spans="1:9" ht="12.75">
      <c r="A4" s="35"/>
      <c r="B4" s="36"/>
      <c r="D4" s="37"/>
      <c r="E4" s="38"/>
      <c r="I4" s="11"/>
    </row>
    <row r="5" spans="1:9" ht="12.75">
      <c r="A5" s="35"/>
      <c r="B5" s="36"/>
      <c r="D5" s="37"/>
      <c r="E5" s="38"/>
      <c r="I5" s="11"/>
    </row>
    <row r="6" spans="1:10" ht="12.75">
      <c r="A6" t="s">
        <v>128</v>
      </c>
      <c r="J6" t="s">
        <v>129</v>
      </c>
    </row>
    <row r="7" spans="1:11" ht="12.75">
      <c r="A7" t="s">
        <v>63</v>
      </c>
      <c r="J7" s="15">
        <v>362000000</v>
      </c>
      <c r="K7" t="s">
        <v>122</v>
      </c>
    </row>
    <row r="8" spans="1:10" ht="12.75">
      <c r="A8" s="48" t="s">
        <v>64</v>
      </c>
      <c r="B8" s="49"/>
      <c r="C8" s="49"/>
      <c r="D8" s="49"/>
      <c r="E8" s="49"/>
      <c r="F8" s="49"/>
      <c r="G8" s="49"/>
      <c r="H8" s="49"/>
      <c r="J8" t="s">
        <v>121</v>
      </c>
    </row>
    <row r="9" spans="1:11" ht="12.75">
      <c r="A9" s="49"/>
      <c r="B9" s="49"/>
      <c r="C9" s="49"/>
      <c r="D9" s="49"/>
      <c r="E9" s="49"/>
      <c r="F9" s="49"/>
      <c r="G9" s="49"/>
      <c r="H9" s="49"/>
      <c r="J9" s="38">
        <v>1732868.8</v>
      </c>
      <c r="K9" t="s">
        <v>122</v>
      </c>
    </row>
    <row r="10" spans="1:11" ht="12.75">
      <c r="A10" s="49"/>
      <c r="B10" s="49"/>
      <c r="C10" s="49"/>
      <c r="D10" s="49"/>
      <c r="E10" s="49"/>
      <c r="F10" s="49"/>
      <c r="G10" s="49"/>
      <c r="H10" s="49"/>
      <c r="J10" s="11">
        <f>SUM(J7/J9)</f>
        <v>208.9021396195719</v>
      </c>
      <c r="K10" t="s">
        <v>130</v>
      </c>
    </row>
    <row r="11" spans="1:8" ht="12.75">
      <c r="A11" s="49"/>
      <c r="B11" s="49"/>
      <c r="C11" s="49"/>
      <c r="D11" s="49"/>
      <c r="E11" s="49"/>
      <c r="F11" s="49"/>
      <c r="G11" s="49"/>
      <c r="H11" s="49"/>
    </row>
    <row r="12" spans="1:11" ht="12.75">
      <c r="A12" s="49"/>
      <c r="B12" s="49"/>
      <c r="C12" s="49"/>
      <c r="D12" s="49"/>
      <c r="E12" s="49"/>
      <c r="F12" s="49"/>
      <c r="G12" s="49"/>
      <c r="H12" s="49"/>
      <c r="J12">
        <v>1000</v>
      </c>
      <c r="K12" t="s">
        <v>131</v>
      </c>
    </row>
    <row r="13" spans="1:11" ht="12.75">
      <c r="A13" s="49"/>
      <c r="B13" s="49"/>
      <c r="C13" s="49"/>
      <c r="D13" s="49"/>
      <c r="E13" s="49"/>
      <c r="F13" s="49"/>
      <c r="G13" s="49"/>
      <c r="H13" s="49"/>
      <c r="J13">
        <f>SUM(J12*J20)</f>
        <v>3280</v>
      </c>
      <c r="K13" t="s">
        <v>132</v>
      </c>
    </row>
    <row r="14" spans="1:11" ht="12.75">
      <c r="A14" s="49"/>
      <c r="B14" s="49"/>
      <c r="C14" s="49"/>
      <c r="D14" s="49"/>
      <c r="E14" s="49"/>
      <c r="F14" s="49"/>
      <c r="G14" s="49"/>
      <c r="H14" s="49"/>
      <c r="J14" s="11">
        <f>SUM(J13/J10)</f>
        <v>15.701131668508287</v>
      </c>
      <c r="K14" t="s">
        <v>134</v>
      </c>
    </row>
    <row r="15" spans="1:8" ht="12.75">
      <c r="A15" s="49"/>
      <c r="B15" s="49"/>
      <c r="C15" s="49"/>
      <c r="D15" s="49"/>
      <c r="E15" s="49"/>
      <c r="F15" s="49"/>
      <c r="G15" s="49"/>
      <c r="H15" s="49"/>
    </row>
    <row r="16" spans="1:8" ht="12.75">
      <c r="A16" s="49"/>
      <c r="B16" s="49"/>
      <c r="C16" s="49"/>
      <c r="D16" s="49"/>
      <c r="E16" s="49"/>
      <c r="F16" s="49"/>
      <c r="G16" s="49"/>
      <c r="H16" s="49"/>
    </row>
    <row r="17" spans="1:8" ht="12.75">
      <c r="A17" s="49"/>
      <c r="B17" s="49"/>
      <c r="C17" s="49"/>
      <c r="D17" s="49"/>
      <c r="E17" s="49"/>
      <c r="F17" s="49"/>
      <c r="G17" s="49"/>
      <c r="H17" s="49"/>
    </row>
    <row r="18" spans="1:8" ht="12.75">
      <c r="A18" s="49"/>
      <c r="B18" s="49"/>
      <c r="C18" s="49"/>
      <c r="D18" s="49"/>
      <c r="E18" s="49"/>
      <c r="F18" s="49"/>
      <c r="G18" s="49"/>
      <c r="H18" s="49"/>
    </row>
    <row r="19" spans="1:8" ht="31.5" customHeight="1">
      <c r="A19" s="49"/>
      <c r="B19" s="49"/>
      <c r="C19" s="49"/>
      <c r="D19" s="49"/>
      <c r="E19" s="49"/>
      <c r="F19" s="49"/>
      <c r="G19" s="49"/>
      <c r="H19" s="49"/>
    </row>
    <row r="20" spans="9:10" ht="12.75">
      <c r="I20" t="s">
        <v>133</v>
      </c>
      <c r="J20">
        <v>3.28</v>
      </c>
    </row>
    <row r="21" ht="12.75">
      <c r="A21" t="s">
        <v>66</v>
      </c>
    </row>
    <row r="23" ht="12.75">
      <c r="A23" t="s">
        <v>117</v>
      </c>
    </row>
    <row r="24" spans="1:8" ht="12.75">
      <c r="A24" s="50" t="s">
        <v>118</v>
      </c>
      <c r="B24" s="50"/>
      <c r="C24" s="50"/>
      <c r="D24" s="50"/>
      <c r="E24" s="50"/>
      <c r="F24" s="50"/>
      <c r="G24" s="50"/>
      <c r="H24" s="50"/>
    </row>
    <row r="25" spans="1:8" ht="12.75">
      <c r="A25" s="50"/>
      <c r="B25" s="50"/>
      <c r="C25" s="50"/>
      <c r="D25" s="50"/>
      <c r="E25" s="50"/>
      <c r="F25" s="50"/>
      <c r="G25" s="50"/>
      <c r="H25" s="50"/>
    </row>
    <row r="26" spans="1:8" ht="12.75">
      <c r="A26" s="50"/>
      <c r="B26" s="50"/>
      <c r="C26" s="50"/>
      <c r="D26" s="50"/>
      <c r="E26" s="50"/>
      <c r="F26" s="50"/>
      <c r="G26" s="50"/>
      <c r="H26" s="50"/>
    </row>
    <row r="27" spans="1:8" ht="12.75">
      <c r="A27" s="50"/>
      <c r="B27" s="50"/>
      <c r="C27" s="50"/>
      <c r="D27" s="50"/>
      <c r="E27" s="50"/>
      <c r="F27" s="50"/>
      <c r="G27" s="50"/>
      <c r="H27" s="50"/>
    </row>
    <row r="28" spans="1:8" ht="12.75">
      <c r="A28" s="50"/>
      <c r="B28" s="50"/>
      <c r="C28" s="50"/>
      <c r="D28" s="50"/>
      <c r="E28" s="50"/>
      <c r="F28" s="50"/>
      <c r="G28" s="50"/>
      <c r="H28" s="50"/>
    </row>
    <row r="29" spans="1:8" ht="12.75">
      <c r="A29" s="50"/>
      <c r="B29" s="50"/>
      <c r="C29" s="50"/>
      <c r="D29" s="50"/>
      <c r="E29" s="50"/>
      <c r="F29" s="50"/>
      <c r="G29" s="50"/>
      <c r="H29" s="50"/>
    </row>
    <row r="30" spans="1:8" ht="12.75">
      <c r="A30" s="50"/>
      <c r="B30" s="50"/>
      <c r="C30" s="50"/>
      <c r="D30" s="50"/>
      <c r="E30" s="50"/>
      <c r="F30" s="50"/>
      <c r="G30" s="50"/>
      <c r="H30" s="50"/>
    </row>
  </sheetData>
  <mergeCells count="2">
    <mergeCell ref="A8:H19"/>
    <mergeCell ref="A24:H3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B5" sqref="B5"/>
    </sheetView>
  </sheetViews>
  <sheetFormatPr defaultColWidth="9.140625" defaultRowHeight="12.75"/>
  <cols>
    <col min="1" max="1" width="58.00390625" style="0" customWidth="1"/>
    <col min="2" max="2" width="38.140625" style="0" customWidth="1"/>
    <col min="3" max="3" width="22.7109375" style="0" customWidth="1"/>
  </cols>
  <sheetData>
    <row r="1" ht="12.75">
      <c r="A1" t="s">
        <v>67</v>
      </c>
    </row>
    <row r="2" ht="19.5">
      <c r="A2" s="25" t="s">
        <v>68</v>
      </c>
    </row>
    <row r="4" ht="12.75">
      <c r="A4" s="27" t="s">
        <v>69</v>
      </c>
    </row>
    <row r="5" ht="12.75">
      <c r="A5" s="26" t="s">
        <v>70</v>
      </c>
    </row>
    <row r="6" ht="12.75">
      <c r="A6" s="27" t="s">
        <v>71</v>
      </c>
    </row>
    <row r="8" ht="12.75">
      <c r="A8" s="26" t="s">
        <v>72</v>
      </c>
    </row>
    <row r="9" ht="13.5" thickBot="1"/>
    <row r="10" spans="1:3" ht="13.5" thickTop="1">
      <c r="A10" s="51" t="s">
        <v>73</v>
      </c>
      <c r="B10" s="28" t="s">
        <v>74</v>
      </c>
      <c r="C10" s="28" t="s">
        <v>76</v>
      </c>
    </row>
    <row r="11" spans="1:3" ht="13.5" thickBot="1">
      <c r="A11" s="52"/>
      <c r="B11" s="29" t="s">
        <v>75</v>
      </c>
      <c r="C11" s="29" t="s">
        <v>74</v>
      </c>
    </row>
    <row r="12" spans="1:3" ht="31.5" customHeight="1" thickTop="1">
      <c r="A12" s="53" t="s">
        <v>77</v>
      </c>
      <c r="B12" s="56" t="s">
        <v>78</v>
      </c>
      <c r="C12" s="31" t="s">
        <v>79</v>
      </c>
    </row>
    <row r="13" spans="1:3" ht="31.5" customHeight="1" thickBot="1">
      <c r="A13" s="54"/>
      <c r="B13" s="57"/>
      <c r="C13" s="32" t="s">
        <v>80</v>
      </c>
    </row>
    <row r="14" spans="1:3" ht="31.5" customHeight="1" thickTop="1">
      <c r="A14" s="54"/>
      <c r="B14" s="56" t="s">
        <v>81</v>
      </c>
      <c r="C14" s="31" t="s">
        <v>82</v>
      </c>
    </row>
    <row r="15" spans="1:3" ht="31.5" customHeight="1" thickBot="1">
      <c r="A15" s="55"/>
      <c r="B15" s="57"/>
      <c r="C15" s="32" t="s">
        <v>83</v>
      </c>
    </row>
    <row r="16" spans="1:3" ht="31.5" customHeight="1" thickTop="1">
      <c r="A16" s="53" t="s">
        <v>84</v>
      </c>
      <c r="B16" s="56" t="s">
        <v>85</v>
      </c>
      <c r="C16" s="31" t="s">
        <v>86</v>
      </c>
    </row>
    <row r="17" spans="1:3" ht="31.5" customHeight="1" thickBot="1">
      <c r="A17" s="55"/>
      <c r="B17" s="57"/>
      <c r="C17" s="32" t="s">
        <v>80</v>
      </c>
    </row>
    <row r="18" spans="1:3" ht="31.5" customHeight="1" thickTop="1">
      <c r="A18" s="53" t="s">
        <v>87</v>
      </c>
      <c r="B18" s="56" t="s">
        <v>88</v>
      </c>
      <c r="C18" s="31" t="s">
        <v>89</v>
      </c>
    </row>
    <row r="19" spans="1:3" ht="31.5" customHeight="1" thickBot="1">
      <c r="A19" s="55"/>
      <c r="B19" s="57"/>
      <c r="C19" s="32" t="s">
        <v>83</v>
      </c>
    </row>
    <row r="20" spans="1:3" ht="31.5" customHeight="1" thickTop="1">
      <c r="A20" s="58" t="s">
        <v>90</v>
      </c>
      <c r="B20" s="31" t="s">
        <v>91</v>
      </c>
      <c r="C20" s="31" t="s">
        <v>97</v>
      </c>
    </row>
    <row r="21" spans="1:3" ht="31.5" customHeight="1">
      <c r="A21" s="59"/>
      <c r="B21" s="33" t="s">
        <v>92</v>
      </c>
      <c r="C21" s="33" t="s">
        <v>80</v>
      </c>
    </row>
    <row r="22" spans="1:3" ht="31.5" customHeight="1">
      <c r="A22" s="59"/>
      <c r="B22" s="33" t="s">
        <v>93</v>
      </c>
      <c r="C22" s="33"/>
    </row>
    <row r="23" spans="1:3" ht="31.5" customHeight="1">
      <c r="A23" s="59"/>
      <c r="B23" s="33" t="s">
        <v>94</v>
      </c>
      <c r="C23" s="33"/>
    </row>
    <row r="24" spans="1:3" ht="31.5" customHeight="1">
      <c r="A24" s="59"/>
      <c r="B24" s="33" t="s">
        <v>95</v>
      </c>
      <c r="C24" s="33"/>
    </row>
    <row r="25" spans="1:3" ht="31.5" customHeight="1" thickBot="1">
      <c r="A25" s="59"/>
      <c r="B25" s="32" t="s">
        <v>96</v>
      </c>
      <c r="C25" s="32"/>
    </row>
    <row r="26" spans="1:3" ht="31.5" customHeight="1" thickTop="1">
      <c r="A26" s="59"/>
      <c r="B26" s="31" t="s">
        <v>98</v>
      </c>
      <c r="C26" s="31" t="s">
        <v>104</v>
      </c>
    </row>
    <row r="27" spans="1:3" ht="31.5" customHeight="1">
      <c r="A27" s="59"/>
      <c r="B27" s="33" t="s">
        <v>99</v>
      </c>
      <c r="C27" s="33" t="s">
        <v>83</v>
      </c>
    </row>
    <row r="28" spans="1:3" ht="31.5" customHeight="1">
      <c r="A28" s="59"/>
      <c r="B28" s="33" t="s">
        <v>100</v>
      </c>
      <c r="C28" s="33"/>
    </row>
    <row r="29" spans="1:3" ht="31.5" customHeight="1">
      <c r="A29" s="59"/>
      <c r="B29" s="33" t="s">
        <v>101</v>
      </c>
      <c r="C29" s="33"/>
    </row>
    <row r="30" spans="1:3" ht="31.5" customHeight="1">
      <c r="A30" s="59"/>
      <c r="B30" s="33" t="s">
        <v>102</v>
      </c>
      <c r="C30" s="33"/>
    </row>
    <row r="31" spans="1:3" ht="31.5" customHeight="1" thickBot="1">
      <c r="A31" s="60"/>
      <c r="B31" s="32" t="s">
        <v>103</v>
      </c>
      <c r="C31" s="32"/>
    </row>
    <row r="32" spans="1:3" ht="31.5" customHeight="1" thickTop="1">
      <c r="A32" s="53" t="s">
        <v>105</v>
      </c>
      <c r="B32" s="56" t="s">
        <v>106</v>
      </c>
      <c r="C32" s="31" t="s">
        <v>97</v>
      </c>
    </row>
    <row r="33" spans="1:3" ht="31.5" customHeight="1" thickBot="1">
      <c r="A33" s="54"/>
      <c r="B33" s="57"/>
      <c r="C33" s="32" t="s">
        <v>80</v>
      </c>
    </row>
    <row r="34" spans="1:3" ht="31.5" customHeight="1" thickTop="1">
      <c r="A34" s="54"/>
      <c r="B34" s="56" t="s">
        <v>107</v>
      </c>
      <c r="C34" s="31" t="s">
        <v>108</v>
      </c>
    </row>
    <row r="35" spans="1:3" ht="31.5" customHeight="1" thickBot="1">
      <c r="A35" s="55"/>
      <c r="B35" s="57"/>
      <c r="C35" s="32" t="s">
        <v>83</v>
      </c>
    </row>
    <row r="36" spans="1:3" ht="31.5" customHeight="1" thickTop="1">
      <c r="A36" s="58" t="s">
        <v>109</v>
      </c>
      <c r="B36" s="56" t="s">
        <v>110</v>
      </c>
      <c r="C36" s="31" t="s">
        <v>111</v>
      </c>
    </row>
    <row r="37" spans="1:3" ht="31.5" customHeight="1" thickBot="1">
      <c r="A37" s="60"/>
      <c r="B37" s="57"/>
      <c r="C37" s="32" t="s">
        <v>80</v>
      </c>
    </row>
    <row r="38" spans="1:3" ht="31.5" customHeight="1" thickTop="1">
      <c r="A38" s="53" t="s">
        <v>112</v>
      </c>
      <c r="B38" s="56" t="s">
        <v>113</v>
      </c>
      <c r="C38" s="31" t="s">
        <v>114</v>
      </c>
    </row>
    <row r="39" spans="1:3" ht="31.5" customHeight="1" thickBot="1">
      <c r="A39" s="55"/>
      <c r="B39" s="57"/>
      <c r="C39" s="32" t="s">
        <v>83</v>
      </c>
    </row>
    <row r="40" ht="13.5" thickTop="1"/>
  </sheetData>
  <mergeCells count="16">
    <mergeCell ref="A36:A37"/>
    <mergeCell ref="B36:B37"/>
    <mergeCell ref="A38:A39"/>
    <mergeCell ref="B38:B39"/>
    <mergeCell ref="A20:A31"/>
    <mergeCell ref="A32:A35"/>
    <mergeCell ref="B32:B33"/>
    <mergeCell ref="B34:B35"/>
    <mergeCell ref="A16:A17"/>
    <mergeCell ref="B16:B17"/>
    <mergeCell ref="A18:A19"/>
    <mergeCell ref="B18:B19"/>
    <mergeCell ref="A10:A11"/>
    <mergeCell ref="A12:A15"/>
    <mergeCell ref="B12:B13"/>
    <mergeCell ref="B14:B15"/>
  </mergeCells>
  <hyperlinks>
    <hyperlink ref="A4" r:id="rId1" display="http://hypertextbook.com/facts/"/>
    <hyperlink ref="A6" r:id="rId2" display="javascript:openSlide(%22http://hypertextbook.com/fairuse.shtml%22)"/>
    <hyperlink ref="A20" r:id="rId3" display="http://pubs.usgs.gov/factsheet/fs133-99/gl_vol.html"/>
    <hyperlink ref="A36" r:id="rId4" display="http://www.interknowledge.com/denmark/greenland.html"/>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Interstate Traveler Company,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Sutton</dc:creator>
  <cp:keywords/>
  <dc:description/>
  <cp:lastModifiedBy>Justin Sutton</cp:lastModifiedBy>
  <cp:lastPrinted>2011-05-27T22:05:39Z</cp:lastPrinted>
  <dcterms:created xsi:type="dcterms:W3CDTF">2007-03-25T16:15:41Z</dcterms:created>
  <dcterms:modified xsi:type="dcterms:W3CDTF">2011-05-29T21:43:10Z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