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5135" windowHeight="7020" tabRatio="782" activeTab="0"/>
  </bookViews>
  <sheets>
    <sheet name="Cover Page" sheetId="1" r:id="rId1"/>
    <sheet name="Costs per kilometer" sheetId="2" r:id="rId2"/>
    <sheet name="Return On Investment" sheetId="3" r:id="rId3"/>
    <sheet name="Org Chart" sheetId="4" r:id="rId4"/>
    <sheet name="Michigan Townships on I-96" sheetId="5" r:id="rId5"/>
    <sheet name="SolarCells" sheetId="6" r:id="rId6"/>
    <sheet name="SolarCell per Acre" sheetId="7" r:id="rId7"/>
    <sheet name="ITC National Network" sheetId="8" r:id="rId8"/>
    <sheet name="National Population" sheetId="9" r:id="rId9"/>
    <sheet name="Steel and Concrete" sheetId="10" r:id="rId10"/>
    <sheet name="Advertising - Rent" sheetId="11" r:id="rId11"/>
    <sheet name="Water Production" sheetId="12" r:id="rId12"/>
    <sheet name="Hyrdrogen Production" sheetId="13" r:id="rId13"/>
    <sheet name="ProductionTimeLine" sheetId="14" r:id="rId14"/>
    <sheet name="Routes" sheetId="15" r:id="rId15"/>
    <sheet name="Addressing" sheetId="16" r:id="rId16"/>
  </sheets>
  <externalReferences>
    <externalReference r:id="rId19"/>
    <externalReference r:id="rId20"/>
    <externalReference r:id="rId21"/>
  </externalReferences>
  <definedNames>
    <definedName name="_4x4">'[1]Palets'!$F$6</definedName>
    <definedName name="_4X4Paletts">#REF!</definedName>
    <definedName name="_4x4paletts2">'[2]Pallets'!$F$6</definedName>
    <definedName name="_4x4pallets">'[1]Palets'!$F$6</definedName>
    <definedName name="Advertising_Rev.month.per.mile">'Advertising - Rent'!$F$18</definedName>
    <definedName name="Advertising_Revenue.per.year.per.mile">'Advertising - Rent'!$G$18</definedName>
    <definedName name="Cost_per_Mile_lock__stock__and_barrell">'Costs per kilometer'!$F$59</definedName>
    <definedName name="Percentage__to_reflect_expected_Passengers_day">'Return On Investment'!$C$36</definedName>
    <definedName name="_xlnm.Print_Area" localSheetId="1">'Costs per kilometer'!$A$36:$E$56</definedName>
    <definedName name="Total_Cost_for_InterState_Traveler_Installation">#REF!</definedName>
    <definedName name="Total_cost_Steel_per_ton">'Steel and Concrete'!$K$34</definedName>
    <definedName name="Total_Revenue__day_mile_for_Passengers_and_Car_Ferry">'Return On Investment'!$C$65</definedName>
    <definedName name="Trans_Rev.per.day.per.mile">'ITC National Network'!#REF!</definedName>
    <definedName name="Typical_Costs_for_Steel_per_ton">'Steel and Concrete'!$C$34</definedName>
  </definedNames>
  <calcPr fullCalcOnLoad="1"/>
</workbook>
</file>

<file path=xl/sharedStrings.xml><?xml version="1.0" encoding="utf-8"?>
<sst xmlns="http://schemas.openxmlformats.org/spreadsheetml/2006/main" count="1078" uniqueCount="849">
  <si>
    <t>The Interstate Traveler Project</t>
  </si>
  <si>
    <t xml:space="preserve"> </t>
  </si>
  <si>
    <t>Created by:  Justin Eric Sutton</t>
  </si>
  <si>
    <t>All rights reserved, Copyright 2002</t>
  </si>
  <si>
    <t>9594 Main Street</t>
  </si>
  <si>
    <t>Whitmore Lake, MI 48189</t>
  </si>
  <si>
    <t xml:space="preserve">  </t>
  </si>
  <si>
    <t>734-449-4480   Office</t>
  </si>
  <si>
    <t>734-449-4486   Fax</t>
  </si>
  <si>
    <t>Grow budget by  x  percent:</t>
  </si>
  <si>
    <t>Steps:</t>
  </si>
  <si>
    <t>Passenger Fee / Mile</t>
  </si>
  <si>
    <t>Dollars  Total Revenue</t>
  </si>
  <si>
    <t>Operational Expenses</t>
  </si>
  <si>
    <t>% Percentage of Total Revenue</t>
  </si>
  <si>
    <t>Cars from Costs Page</t>
  </si>
  <si>
    <t>Revenue per mile/Passenger</t>
  </si>
  <si>
    <t>Passengers Per Car</t>
  </si>
  <si>
    <t>People</t>
  </si>
  <si>
    <t>Miles</t>
  </si>
  <si>
    <t>Average Speed of Car</t>
  </si>
  <si>
    <t>Miles/Hour</t>
  </si>
  <si>
    <t>Hours</t>
  </si>
  <si>
    <t>Increases with distance traveled</t>
  </si>
  <si>
    <t>Miles/Day by One Car</t>
  </si>
  <si>
    <t>Miles/Day by All Cars</t>
  </si>
  <si>
    <t>Number Cars times Number of Passengers</t>
  </si>
  <si>
    <t>For every Mile Traveled</t>
  </si>
  <si>
    <t>Distance</t>
  </si>
  <si>
    <t>Feet</t>
  </si>
  <si>
    <t>1 Mile</t>
  </si>
  <si>
    <t>1 Kilometer</t>
  </si>
  <si>
    <t>1 mile = 5,280 feet      1 Kilometer = 3278 feet</t>
  </si>
  <si>
    <t>One Kilometer is equal to…</t>
  </si>
  <si>
    <t>Qty</t>
  </si>
  <si>
    <t>Units</t>
  </si>
  <si>
    <t>Description</t>
  </si>
  <si>
    <t>Cost</t>
  </si>
  <si>
    <t>Amount</t>
  </si>
  <si>
    <t>Notes</t>
  </si>
  <si>
    <t>foot</t>
  </si>
  <si>
    <t>Independence Tube Corporation</t>
  </si>
  <si>
    <t>Number of Pairs of Rail</t>
  </si>
  <si>
    <t>Stanchion</t>
  </si>
  <si>
    <t>Steel per Kilometer</t>
  </si>
  <si>
    <t>Interstate Traveler Rail Costs/Kilometer</t>
  </si>
  <si>
    <t>Kilometer</t>
  </si>
  <si>
    <t>AMSC HTS Super Conductor Wire</t>
  </si>
  <si>
    <t>Solar Panel 72" wide x  1 Kilometer long.</t>
  </si>
  <si>
    <t>Fiber Optics</t>
  </si>
  <si>
    <t>figured at $5 per foot but can be purchase at  $.35 per foot</t>
  </si>
  <si>
    <t>Units/Kilometer</t>
  </si>
  <si>
    <t>One every FOUR kilometers</t>
  </si>
  <si>
    <t>Labor/Kilometer</t>
  </si>
  <si>
    <t>100 people working simultaneously / 1 week</t>
  </si>
  <si>
    <t>$52k / Annual Salary equivalent  or $1K / week</t>
  </si>
  <si>
    <t>Solid-state Magnets</t>
  </si>
  <si>
    <t>Total cost of the InterState Traveler /Kilometers</t>
  </si>
  <si>
    <t>Terminal Stations</t>
  </si>
  <si>
    <t>Each</t>
  </si>
  <si>
    <t>Grand Terminal Stations</t>
  </si>
  <si>
    <t>Sidetrack to Local Public Station (1Kilometer)</t>
  </si>
  <si>
    <t>Interstate Traveler Public Cars</t>
  </si>
  <si>
    <t>Grand Public Car</t>
  </si>
  <si>
    <t>Commuter Public Car</t>
  </si>
  <si>
    <t>Car Ferry</t>
  </si>
  <si>
    <t>Total Commute Cars</t>
  </si>
  <si>
    <t>Total Cost for InterState Traveler Installation</t>
  </si>
  <si>
    <t>Total Car Ferry</t>
  </si>
  <si>
    <r>
      <t xml:space="preserve">A </t>
    </r>
    <r>
      <rPr>
        <b/>
        <i/>
        <sz val="16"/>
        <rFont val="Arial"/>
        <family val="2"/>
      </rPr>
      <t>cycle</t>
    </r>
    <r>
      <rPr>
        <b/>
        <sz val="16"/>
        <rFont val="Arial"/>
        <family val="2"/>
      </rPr>
      <t xml:space="preserve"> is defined as a single passenger paying for one mile of travel.</t>
    </r>
  </si>
  <si>
    <t>Number of Commuter Cars:</t>
  </si>
  <si>
    <t>Max Passengers Per Car</t>
  </si>
  <si>
    <t>Minutes</t>
  </si>
  <si>
    <t>Percent increase if at capacity (cars)</t>
  </si>
  <si>
    <t>Operational Expenses Budgetary Fund / Day</t>
  </si>
  <si>
    <t>Operational Expenses/ Year</t>
  </si>
  <si>
    <t>Annual Gross Revenue</t>
  </si>
  <si>
    <t>Number of Miles</t>
  </si>
  <si>
    <t>Kilometers</t>
  </si>
  <si>
    <t>Solar Array Potential Calculator</t>
  </si>
  <si>
    <t>One Mile</t>
  </si>
  <si>
    <t>5280 Feet</t>
  </si>
  <si>
    <t>One Kilometer</t>
  </si>
  <si>
    <t>3278 Feet</t>
  </si>
  <si>
    <t>Watts</t>
  </si>
  <si>
    <t>Amps</t>
  </si>
  <si>
    <t>Volts</t>
  </si>
  <si>
    <t>Cost/Lineal Foot</t>
  </si>
  <si>
    <t>Number of Feet</t>
  </si>
  <si>
    <t>Total Output in Watts</t>
  </si>
  <si>
    <t>Total Output in Amps</t>
  </si>
  <si>
    <t>Total Output in Volts</t>
  </si>
  <si>
    <t>Total Cost Retail</t>
  </si>
  <si>
    <r>
      <t>Kyocera 120W</t>
    </r>
    <r>
      <rPr>
        <sz val="10"/>
        <rFont val="Arial"/>
        <family val="0"/>
      </rPr>
      <t>: 7.1A, 16.9V (56.1" x 25.7")</t>
    </r>
  </si>
  <si>
    <t>The above described Kyocera Solar Cell is for estated figures only.</t>
  </si>
  <si>
    <t>http://pvsolarmodules.com/kyocera.html</t>
  </si>
  <si>
    <t>cost / watt</t>
  </si>
  <si>
    <t>DC / Hour</t>
  </si>
  <si>
    <t>A Volt is equal to Watts divided by Amps</t>
  </si>
  <si>
    <t>Total Output in Watts per Kilometer</t>
  </si>
  <si>
    <t>Total Output in Watts for Entire System</t>
  </si>
  <si>
    <t>Total Number of Kilometers</t>
  </si>
  <si>
    <t>Total Output in Volts for Entire System</t>
  </si>
  <si>
    <t>Miles to Kilometers,  Kilometers to Miles</t>
  </si>
  <si>
    <t>QTY</t>
  </si>
  <si>
    <t>Enter Miles</t>
  </si>
  <si>
    <t>Enter Kilometers</t>
  </si>
  <si>
    <t>length</t>
  </si>
  <si>
    <t>width</t>
  </si>
  <si>
    <t>Area</t>
  </si>
  <si>
    <t>Watts/sqft</t>
  </si>
  <si>
    <t>Total Watts</t>
  </si>
  <si>
    <t>Total Sqft</t>
  </si>
  <si>
    <t>Square feet per Mile</t>
  </si>
  <si>
    <t>Square feet per Kilometer</t>
  </si>
  <si>
    <t>Hydrogen Production</t>
  </si>
  <si>
    <t>kWh</t>
  </si>
  <si>
    <t>cuMeter Hydrogen</t>
  </si>
  <si>
    <t>Watts/cuM Hydrogen</t>
  </si>
  <si>
    <t xml:space="preserve">Electrolysis at 1.48 volts (corresponding to 3.5 kWh per normal cubic metre of hydrogen) would be 100% efficient in the conventional sense. </t>
  </si>
  <si>
    <t xml:space="preserve">http://www.stuartenergy.com/hydrogen/techreview.asp </t>
  </si>
  <si>
    <t>Change values in yellow to see all figures update</t>
  </si>
  <si>
    <t>Section Length (Feet)</t>
  </si>
  <si>
    <t xml:space="preserve">Cost per Section </t>
  </si>
  <si>
    <t>Cost per foot</t>
  </si>
  <si>
    <t>Projected Revenue / Day  at Capacity (cars)</t>
  </si>
  <si>
    <t>Projected Revenue/Mile/ all cars</t>
  </si>
  <si>
    <t>Time to tool up manufacturing in Months</t>
  </si>
  <si>
    <t>Number of Car Ferries</t>
  </si>
  <si>
    <t>Dollars after Operational expenses</t>
  </si>
  <si>
    <t>Remaining Passenger Capacity (cars)</t>
  </si>
  <si>
    <r>
      <t>Operational Expenses</t>
    </r>
    <r>
      <rPr>
        <sz val="8"/>
        <rFont val="Arial"/>
        <family val="2"/>
      </rPr>
      <t xml:space="preserve"> (step 2 above)</t>
    </r>
  </si>
  <si>
    <t>Unit Conversions</t>
  </si>
  <si>
    <t xml:space="preserve">http://www.time.com/time/business/article/0,8599,185650,00.html </t>
  </si>
  <si>
    <t>Rails</t>
  </si>
  <si>
    <t>10" x 5/8ths wall x 1 foot  Round Tubing</t>
  </si>
  <si>
    <t>Cost per Foot Steel Only</t>
  </si>
  <si>
    <t>Steel for Rail Tubing  / Stanchion / Central Support</t>
  </si>
  <si>
    <t xml:space="preserve">Supplemental Conduit </t>
  </si>
  <si>
    <t>$1 / per foot</t>
  </si>
  <si>
    <r>
      <t xml:space="preserve">Budget&gt;&gt; </t>
    </r>
    <r>
      <rPr>
        <sz val="12"/>
        <rFont val="Arial"/>
        <family val="0"/>
      </rPr>
      <t>Cost for Installation from Detroit to Muskegon</t>
    </r>
  </si>
  <si>
    <t>Total Months Until Operational</t>
  </si>
  <si>
    <t>Number of Stanchions per Kilometer</t>
  </si>
  <si>
    <t>Same Number of Concrete Piers</t>
  </si>
  <si>
    <t>Concrete Pier is 3x3x12 feet equals 4 cuyards ea</t>
  </si>
  <si>
    <t>Cost per Kilometer All Piers</t>
  </si>
  <si>
    <t>Concrete 3'x3' x 12' concrete Piers</t>
  </si>
  <si>
    <t>Total Time Saved</t>
  </si>
  <si>
    <t>Value of Time saved at $20/hour</t>
  </si>
  <si>
    <t>Sections / Day</t>
  </si>
  <si>
    <t>Amount / Year</t>
  </si>
  <si>
    <t>Amount / Month</t>
  </si>
  <si>
    <t>Days/week</t>
  </si>
  <si>
    <t>Total Feet / Year</t>
  </si>
  <si>
    <t>Total Kilometers / Year</t>
  </si>
  <si>
    <t>Target</t>
  </si>
  <si>
    <t>Years to Build</t>
  </si>
  <si>
    <t>Months to Build</t>
  </si>
  <si>
    <t>Steel &amp; Concrete</t>
  </si>
  <si>
    <r>
      <t xml:space="preserve">Revenue </t>
    </r>
    <r>
      <rPr>
        <b/>
        <i/>
        <sz val="10"/>
        <rFont val="Arial"/>
        <family val="2"/>
      </rPr>
      <t>All Cars</t>
    </r>
    <r>
      <rPr>
        <sz val="10"/>
        <rFont val="Arial"/>
        <family val="2"/>
      </rPr>
      <t xml:space="preserve"> / Day</t>
    </r>
  </si>
  <si>
    <r>
      <t xml:space="preserve">Revenue </t>
    </r>
    <r>
      <rPr>
        <b/>
        <i/>
        <sz val="10"/>
        <rFont val="Arial"/>
        <family val="2"/>
      </rPr>
      <t>All Car Ferries</t>
    </r>
    <r>
      <rPr>
        <sz val="10"/>
        <rFont val="Arial"/>
        <family val="2"/>
      </rPr>
      <t xml:space="preserve"> / Day</t>
    </r>
  </si>
  <si>
    <t>TwinRail Output</t>
  </si>
  <si>
    <t>Watts/day</t>
  </si>
  <si>
    <t>Average Home</t>
  </si>
  <si>
    <t>Number of Homes Covered</t>
  </si>
  <si>
    <t>Value of a Kilowatt</t>
  </si>
  <si>
    <t>Total Value</t>
  </si>
  <si>
    <t>Value of a Watt</t>
  </si>
  <si>
    <t>Total Value TwinRail</t>
  </si>
  <si>
    <t>/day</t>
  </si>
  <si>
    <t>Entire System Total Number of Kilometer</t>
  </si>
  <si>
    <t>Watts/hour-peek</t>
  </si>
  <si>
    <t>Total wattage output of the Interstate Traveler Rail Conduit Cluster</t>
  </si>
  <si>
    <t>Cost per Mile for Continuous Ribbon</t>
  </si>
  <si>
    <t>Cost per Cubic Yard</t>
  </si>
  <si>
    <t>Costs Per Concrete Pier</t>
  </si>
  <si>
    <t>Cost per Kilometer for Continuous Ribbon</t>
  </si>
  <si>
    <t>Full Production Estimates</t>
  </si>
  <si>
    <t>Production Estimates Time Line</t>
  </si>
  <si>
    <t xml:space="preserve">www.InterstateTraveler.us </t>
  </si>
  <si>
    <t>Return On Investment via Fairbox Collections</t>
  </si>
  <si>
    <t>Stanchion Poles at 30 foot High  Two Way Traffic</t>
  </si>
  <si>
    <t>about 12 watts / Square foot</t>
  </si>
  <si>
    <t>Efficiency of PEM Fuel Cell Stacks</t>
  </si>
  <si>
    <t>500w</t>
  </si>
  <si>
    <t>Flow</t>
  </si>
  <si>
    <t>Liters/Minute</t>
  </si>
  <si>
    <t>Efficientcy at Full Power</t>
  </si>
  <si>
    <t xml:space="preserve">http://www.fuelcellstore.com/cgi-bin/fuelweb/view=item/cat=23/subcat=26/product=181 </t>
  </si>
  <si>
    <t>electical output for 10 sqfeet</t>
  </si>
  <si>
    <t>Average Gross Vechicle Weight</t>
  </si>
  <si>
    <t>lbs</t>
  </si>
  <si>
    <t>Revenue per mile/GVW Car Ferry</t>
  </si>
  <si>
    <t>Cost Per Pound / mile for Car Ferry</t>
  </si>
  <si>
    <t>Consumer Fee For Use on a Trip</t>
  </si>
  <si>
    <r>
      <t xml:space="preserve">Number of Lbs. moved per Day ( all </t>
    </r>
    <r>
      <rPr>
        <b/>
        <sz val="10"/>
        <rFont val="Arial"/>
        <family val="2"/>
      </rPr>
      <t>ferries</t>
    </r>
    <r>
      <rPr>
        <sz val="10"/>
        <rFont val="Arial"/>
        <family val="0"/>
      </rPr>
      <t>)</t>
    </r>
  </si>
  <si>
    <t>Length ft. / Section</t>
  </si>
  <si>
    <t>Rails required for two way traffic</t>
  </si>
  <si>
    <t>Total Feet / Week</t>
  </si>
  <si>
    <t>Kilomters / Week</t>
  </si>
  <si>
    <t>Number of Passengers riding (cars) Occupancy</t>
  </si>
  <si>
    <t>Total Revenue Per Day -Both Cars and Ferries</t>
  </si>
  <si>
    <t>Projected Revenue/ Day ( All Cars)</t>
  </si>
  <si>
    <t>Projected Revenue/ Day ( All Ferries)</t>
  </si>
  <si>
    <r>
      <t xml:space="preserve">Return on Investment in </t>
    </r>
    <r>
      <rPr>
        <b/>
        <sz val="12"/>
        <rFont val="Arial"/>
        <family val="0"/>
      </rPr>
      <t>Months</t>
    </r>
    <r>
      <rPr>
        <sz val="12"/>
        <rFont val="Arial"/>
        <family val="0"/>
      </rPr>
      <t xml:space="preserve"> after made Operational</t>
    </r>
  </si>
  <si>
    <t>$ / lb</t>
  </si>
  <si>
    <t>Average Distance of Trip for Peddestrian</t>
  </si>
  <si>
    <t>Average Distance of Trip for Car Ferry</t>
  </si>
  <si>
    <t>Time to Complete a Trip in  Hours Car</t>
  </si>
  <si>
    <t>Time to Complete a Trip Minutes Car</t>
  </si>
  <si>
    <t>Time to Complete a Trip in  Hours Car Ferry</t>
  </si>
  <si>
    <t>Time to Complete a Trip Minutes Car Ferry</t>
  </si>
  <si>
    <t>Average Speed of Car Ferry</t>
  </si>
  <si>
    <t>Miles / Hour</t>
  </si>
  <si>
    <t>Total Time Saved vs. Driving your Car</t>
  </si>
  <si>
    <t>Time to make trip if traveling 50 mph average Car</t>
  </si>
  <si>
    <t>Time to make trip if traveling 50 mph  vs.  Car Ferry</t>
  </si>
  <si>
    <t>Saved Minutes</t>
  </si>
  <si>
    <t>Valuable Time Savings</t>
  </si>
  <si>
    <t>Total Years Until Operational</t>
  </si>
  <si>
    <r>
      <t xml:space="preserve">Total Revenue at </t>
    </r>
    <r>
      <rPr>
        <b/>
        <sz val="10"/>
        <rFont val="Arial"/>
        <family val="2"/>
      </rPr>
      <t>Capacity</t>
    </r>
    <r>
      <rPr>
        <sz val="10"/>
        <rFont val="Arial"/>
        <family val="0"/>
      </rPr>
      <t xml:space="preserve">  Per Day</t>
    </r>
  </si>
  <si>
    <t>Unforsene Delays for Installation in Months</t>
  </si>
  <si>
    <t>Peek time is considered to be 11am to 2pm</t>
  </si>
  <si>
    <t>Total Watts/hour</t>
  </si>
  <si>
    <t>Total cuMeters/hour</t>
  </si>
  <si>
    <t>Total Value/hour</t>
  </si>
  <si>
    <t>Assumptions</t>
  </si>
  <si>
    <t>Above production is assumed that 100 utility substations will have suffecient electrolysis processing available.</t>
  </si>
  <si>
    <t>Number of Substations</t>
  </si>
  <si>
    <t>Total cuMeters</t>
  </si>
  <si>
    <t>Total cuM/Station/hr</t>
  </si>
  <si>
    <t>CuMeter/Station/Hr at Capacity</t>
  </si>
  <si>
    <t xml:space="preserve">http://www.stuartenergy.com/technology/tech_platforms.html </t>
  </si>
  <si>
    <t>Sitework / demolition / adjustment to overhead lines</t>
  </si>
  <si>
    <t>ITC Rail Installation Check List</t>
  </si>
  <si>
    <t>ITC Rail Installation Analysis</t>
  </si>
  <si>
    <t>747 watts/1hp</t>
  </si>
  <si>
    <t>Horse Power</t>
  </si>
  <si>
    <t>Total Length</t>
  </si>
  <si>
    <t>Total HP</t>
  </si>
  <si>
    <t>Compounds always contain same elements in same proportion by mass.</t>
  </si>
  <si>
    <t>—eg. Water always contains 11.2% hydrogen and 88.8% oxygen by mass.</t>
  </si>
  <si>
    <t>Therefore 100 grams of water containes 11.2 grams of hydrogen, and 88.8 grams oxygen</t>
  </si>
  <si>
    <t>This will tell me how much water.</t>
  </si>
  <si>
    <t>Ratio of Hydrogen to oxygen in Water</t>
  </si>
  <si>
    <t>Hydrogen</t>
  </si>
  <si>
    <t>Oxygen</t>
  </si>
  <si>
    <t>http://www.physlink.com/Education/AskExperts/ae367.cfm</t>
  </si>
  <si>
    <t>http://mathforum.org/library/drmath/view/56329.html</t>
  </si>
  <si>
    <t>8.34 pounds of water per gallon</t>
  </si>
  <si>
    <t>1 gram / cubic centimeter</t>
  </si>
  <si>
    <t>3785 cubic centemeters/gallon</t>
  </si>
  <si>
    <t>1000 grams is equal to 2.2 pounds</t>
  </si>
  <si>
    <t>1 lb H2 = about 15.3 kilowatt-hours lower heating value (about 52,000 BTU)</t>
  </si>
  <si>
    <t>Assuming a nice 80% efficiency, 197,000 kilowatts into an electrolyzer will generate about 10,300 lbs/hour of H2, which (x9) yields about 98,000 lbs/hour of water, or about 11,000 gallons per hour.</t>
  </si>
  <si>
    <t>Total Stations</t>
  </si>
  <si>
    <t>Total Miles</t>
  </si>
  <si>
    <t>Total Kilometers</t>
  </si>
  <si>
    <t>Hydrogen Units</t>
  </si>
  <si>
    <t>Gasoline equivelent units @10ncmh/gal</t>
  </si>
  <si>
    <t>Dollars/H2 Unit</t>
  </si>
  <si>
    <t>Projected Revenue/ Day ( All Cars)/ Trip</t>
  </si>
  <si>
    <t>Projected Revenue/ Day ( All Cars)/ passenger mile</t>
  </si>
  <si>
    <t>Cars/mile</t>
  </si>
  <si>
    <t>ITC National Network</t>
  </si>
  <si>
    <t>Change figures in Yellow to adjust totals.</t>
  </si>
  <si>
    <t>Percent sold</t>
  </si>
  <si>
    <t>cars</t>
  </si>
  <si>
    <t>watt\mile</t>
  </si>
  <si>
    <t>\gallons\mile</t>
  </si>
  <si>
    <t>$\mile</t>
  </si>
  <si>
    <t>Enter value (per unit) here to adjust estimates:</t>
  </si>
  <si>
    <t>\watt\hour</t>
  </si>
  <si>
    <t>\kilogram</t>
  </si>
  <si>
    <t>\gallon</t>
  </si>
  <si>
    <t>Trips\day</t>
  </si>
  <si>
    <t>State</t>
  </si>
  <si>
    <t>Interstate miles</t>
  </si>
  <si>
    <t>Total Highway Miles</t>
  </si>
  <si>
    <t>Electricity Revenue\hour</t>
  </si>
  <si>
    <t>Electricity Revenue/year</t>
  </si>
  <si>
    <t>Hydrogen Revenue\hour</t>
  </si>
  <si>
    <t>H2 Revenue/year</t>
  </si>
  <si>
    <t>Advertising Revenue\mile\month</t>
  </si>
  <si>
    <t>Advertising Revenue\mile\Year</t>
  </si>
  <si>
    <t>ROI</t>
  </si>
  <si>
    <t>Per mile             1</t>
  </si>
  <si>
    <t>calculated at 8 hours/day</t>
  </si>
  <si>
    <t>AL</t>
  </si>
  <si>
    <t>AK</t>
  </si>
  <si>
    <t>AZ</t>
  </si>
  <si>
    <t>AR</t>
  </si>
  <si>
    <t>CA</t>
  </si>
  <si>
    <t>CO</t>
  </si>
  <si>
    <t>CN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</si>
  <si>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</si>
  <si>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</si>
  <si>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</si>
  <si>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</si>
  <si>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</si>
  <si>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</si>
  <si>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</si>
  <si>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</si>
  <si>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</si>
  <si>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</si>
  <si>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</si>
  <si>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</si>
  <si>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</si>
  <si>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</si>
  <si>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</si>
  <si>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</si>
  <si>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</si>
  <si>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</si>
  <si>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</si>
  <si>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</si>
  <si>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</si>
  <si>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</si>
  <si>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</si>
  <si>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</si>
  <si>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</si>
  <si>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</si>
  <si>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</si>
  <si>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</si>
  <si>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</si>
  <si>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</si>
  <si>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</si>
  <si>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</si>
  <si>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</si>
  <si>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</si>
  <si>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</si>
  <si>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</si>
  <si>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</si>
  <si>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</si>
  <si>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 xml:space="preserve">VT </t>
  </si>
  <si>
    <t>VA</t>
  </si>
  <si>
    <t>WA</t>
  </si>
  <si>
    <t>WV</t>
  </si>
  <si>
    <t>WI</t>
  </si>
  <si>
    <t>WY</t>
  </si>
  <si>
    <t>PR</t>
  </si>
  <si>
    <t>Projected Revenue/Mile/ all cars w/permile fee</t>
  </si>
  <si>
    <t>Advertising Revenue Calculations</t>
  </si>
  <si>
    <t>Source</t>
  </si>
  <si>
    <t>Banner/Billboard Advertising</t>
  </si>
  <si>
    <t>Advertising Grand Public Car</t>
  </si>
  <si>
    <t>Advertising Commuter Public Car</t>
  </si>
  <si>
    <t>Advertising Car Ferry</t>
  </si>
  <si>
    <t>Traveler Stations</t>
  </si>
  <si>
    <t>Utilty Substations</t>
  </si>
  <si>
    <t>Car Ramps</t>
  </si>
  <si>
    <t>Parking Lots</t>
  </si>
  <si>
    <t>Amount/Month</t>
  </si>
  <si>
    <t>Total/Month</t>
  </si>
  <si>
    <t>Total/Year</t>
  </si>
  <si>
    <t>Total /day</t>
  </si>
  <si>
    <t>Year</t>
  </si>
  <si>
    <t>Month</t>
  </si>
  <si>
    <t>Day</t>
  </si>
  <si>
    <t xml:space="preserve">Revenue / Mile </t>
  </si>
  <si>
    <t>Total Passengers / Day for all cars (Trips)</t>
  </si>
  <si>
    <t>Percentage  to reflect expected Passengers/day</t>
  </si>
  <si>
    <t>Actual Anticipated Ridership for all cars (Trips/day)</t>
  </si>
  <si>
    <t>Total Passengers / Day for all cars (Trips/day) @ Capacity</t>
  </si>
  <si>
    <t>#Cost_per_Mile_lock__stock__and_barrell</t>
  </si>
  <si>
    <t>total Miles of track for this estimate:</t>
  </si>
  <si>
    <t>total Kilometers of track for this estimate:</t>
  </si>
  <si>
    <t>Manufactured Rail Sections in Feet Steel Only</t>
  </si>
  <si>
    <t>Length of Rail (Section)</t>
  </si>
  <si>
    <t>Cost per Section Steel Only</t>
  </si>
  <si>
    <t>Estimated $1200.00/ plate</t>
  </si>
  <si>
    <t>Figured at 60 foot x $30/foot</t>
  </si>
  <si>
    <t>Number of Yards per Pier</t>
  </si>
  <si>
    <t>Cloverleaf Stations "Traveler Station"</t>
  </si>
  <si>
    <t>Convert Miles to Kilometers,  Kilometers to Miles</t>
  </si>
  <si>
    <t>Percent to Public</t>
  </si>
  <si>
    <t>Rent Revenue Calculations</t>
  </si>
  <si>
    <t>Rent at Cloverleafs\mile\year</t>
  </si>
  <si>
    <t>Conduit Cluster Revenue\Mile\Year</t>
  </si>
  <si>
    <t>Water Rev/day/mile</t>
  </si>
  <si>
    <t>Water Rev / year</t>
  </si>
  <si>
    <t>Total Revenue/year</t>
  </si>
  <si>
    <t>Revenue / Trip / Single Pedestrian Passenger  $ per mile</t>
  </si>
  <si>
    <t>Revenue / Trip GVW / Car Ferry  $ per mile</t>
  </si>
  <si>
    <t>Total Trips per Day for Car Ferry @ Capacity</t>
  </si>
  <si>
    <t>Percentage  to reflect expected Car Ferry Use /day</t>
  </si>
  <si>
    <t>Actual Anticipated Car Ferry Use / Day</t>
  </si>
  <si>
    <t>Passenger Fee / Day</t>
  </si>
  <si>
    <t>Car Ferry Fee / Day</t>
  </si>
  <si>
    <t>Passenger Revenue per Day at $5 per trip</t>
  </si>
  <si>
    <t>Passenger Revenue per Month at $5 per trip</t>
  </si>
  <si>
    <t>Passenger Revenue per Year at $5 per trip</t>
  </si>
  <si>
    <t>Car Ferry Revenue per Day</t>
  </si>
  <si>
    <t xml:space="preserve"> Passenger Revenue/day/mile</t>
  </si>
  <si>
    <t>Car Ferry Revenue per Month</t>
  </si>
  <si>
    <t>Car Ferry Revenue / day / mile</t>
  </si>
  <si>
    <t>Total Revenue /day/mile for Passengers and Car Ferry</t>
  </si>
  <si>
    <t>Totals</t>
  </si>
  <si>
    <t>Percent of Total Revenue</t>
  </si>
  <si>
    <t>Total Revenue after Public Payment</t>
  </si>
  <si>
    <t>Total Horsepower</t>
  </si>
  <si>
    <t>hp</t>
  </si>
  <si>
    <t>Width in Feet</t>
  </si>
  <si>
    <t>Watts/Sq Ft</t>
  </si>
  <si>
    <t>Horse Power/car</t>
  </si>
  <si>
    <t>Cars per mile by horsepower</t>
  </si>
  <si>
    <t>Need to do the math on a Transformer to increase voltage</t>
  </si>
  <si>
    <t>Total Squareft</t>
  </si>
  <si>
    <t>Entire System Total Number of Mile</t>
  </si>
  <si>
    <t>Total Number of Cars by Horse Power</t>
  </si>
  <si>
    <t>Volts/hour</t>
  </si>
  <si>
    <r>
      <t xml:space="preserve">Return on Investment </t>
    </r>
    <r>
      <rPr>
        <b/>
        <sz val="12"/>
        <rFont val="Arial"/>
        <family val="0"/>
      </rPr>
      <t>Years Including Startup time</t>
    </r>
  </si>
  <si>
    <t>Total Revenue / Year for Passengers and Cars</t>
  </si>
  <si>
    <t>Car Ferry Revenue per Year</t>
  </si>
  <si>
    <t>Total Annual Revenue</t>
  </si>
  <si>
    <t>Annual ROI</t>
  </si>
  <si>
    <t>Years</t>
  </si>
  <si>
    <t>Time to make and all parts in Months</t>
  </si>
  <si>
    <t>years</t>
  </si>
  <si>
    <t>Projected Revenue  30 Day  $ per mile</t>
  </si>
  <si>
    <t>Projected Revenue  One Year  at $ per mile</t>
  </si>
  <si>
    <t>Payment Fund</t>
  </si>
  <si>
    <t>Annual ROI using Payment Fund</t>
  </si>
  <si>
    <t>H2 @ 8 hours/day</t>
  </si>
  <si>
    <t>Freight Annual /mile/year</t>
  </si>
  <si>
    <t>1  car per mile</t>
  </si>
  <si>
    <t>mph</t>
  </si>
  <si>
    <t>Days per year</t>
  </si>
  <si>
    <t>Public Revenue</t>
  </si>
  <si>
    <t>Interstate Traveler Hydrogen/Water Cycle Analysis</t>
  </si>
  <si>
    <t>Hydrogen to Water</t>
  </si>
  <si>
    <t>watt-hours/lb of h2</t>
  </si>
  <si>
    <t>efficiency</t>
  </si>
  <si>
    <t>Actual energy from h2</t>
  </si>
  <si>
    <t>watts-hours/Lbs H2</t>
  </si>
  <si>
    <t>Total System watts (TSW)</t>
  </si>
  <si>
    <t xml:space="preserve">TSW / watt-hr/lb </t>
  </si>
  <si>
    <t>Total lbs H2</t>
  </si>
  <si>
    <t>Total /lbs/hr @ efficiency</t>
  </si>
  <si>
    <t>Mole conversion</t>
  </si>
  <si>
    <t>Total Lbs of water /hour</t>
  </si>
  <si>
    <t>Lbs/gallon</t>
  </si>
  <si>
    <t>Total Gallons/hour</t>
  </si>
  <si>
    <t>Total Interstate Highway</t>
  </si>
  <si>
    <t>Total Water production</t>
  </si>
  <si>
    <t>Power to Hydrogen</t>
  </si>
  <si>
    <t>Total Watt-Hrs/ ncmH</t>
  </si>
  <si>
    <t>Total Cubic Meters H /hr</t>
  </si>
  <si>
    <t>Total ncmH/hour</t>
  </si>
  <si>
    <t>Total Hydrogen Density</t>
  </si>
  <si>
    <t>Kilograms/cubic meter</t>
  </si>
  <si>
    <t>Kilograms of Hydrogen</t>
  </si>
  <si>
    <t>Liters of Water / hour</t>
  </si>
  <si>
    <t xml:space="preserve">One gallon is </t>
  </si>
  <si>
    <t>Liters</t>
  </si>
  <si>
    <t>Total Gallons of water /hour</t>
  </si>
  <si>
    <t>Hours/day</t>
  </si>
  <si>
    <t>Gallons/day</t>
  </si>
  <si>
    <t>days/year</t>
  </si>
  <si>
    <t>Gallons/year</t>
  </si>
  <si>
    <t>National Highway system</t>
  </si>
  <si>
    <t xml:space="preserve">Total Water for National </t>
  </si>
  <si>
    <t>Statewide Population</t>
  </si>
  <si>
    <t>Geographic Area</t>
  </si>
  <si>
    <t>July 1, 2003 Population</t>
  </si>
  <si>
    <t>July 1, 2002 Population</t>
  </si>
  <si>
    <t>July 1, 2001 Population</t>
  </si>
  <si>
    <t>July 1, 2000 Population</t>
  </si>
  <si>
    <t>April 1, 2000 Population Estimates Base</t>
  </si>
  <si>
    <t>Census 2000 Population</t>
  </si>
  <si>
    <t>United States</t>
  </si>
  <si>
    <t>   Alabama</t>
  </si>
  <si>
    <t>   Alaska</t>
  </si>
  <si>
    <t>   Arizona</t>
  </si>
  <si>
    <t>   Arkansas</t>
  </si>
  <si>
    <t>   California</t>
  </si>
  <si>
    <t>   Colorado</t>
  </si>
  <si>
    <t>   Connecticut</t>
  </si>
  <si>
    <t>   Delaware</t>
  </si>
  <si>
    <t>   District of Columbia</t>
  </si>
  <si>
    <t>   Florida</t>
  </si>
  <si>
    <t>   Georgia</t>
  </si>
  <si>
    <t>   Hawaii</t>
  </si>
  <si>
    <t>   Idaho</t>
  </si>
  <si>
    <t>   Illinois</t>
  </si>
  <si>
    <t>   Indiana</t>
  </si>
  <si>
    <t>   Iowa</t>
  </si>
  <si>
    <t>   Kansas</t>
  </si>
  <si>
    <t>   Kentucky</t>
  </si>
  <si>
    <t>   Louisiana</t>
  </si>
  <si>
    <t>   Maine</t>
  </si>
  <si>
    <t>   Maryland</t>
  </si>
  <si>
    <t>   Massachusetts</t>
  </si>
  <si>
    <t>   Michigan</t>
  </si>
  <si>
    <t>   Minnesota</t>
  </si>
  <si>
    <t>   Mississippi</t>
  </si>
  <si>
    <t>   Missouri</t>
  </si>
  <si>
    <t>   Montana</t>
  </si>
  <si>
    <t>   Nebraska</t>
  </si>
  <si>
    <t>   Nevada</t>
  </si>
  <si>
    <t>   New Hampshire</t>
  </si>
  <si>
    <t>   New Jersey</t>
  </si>
  <si>
    <t>   New Mexico</t>
  </si>
  <si>
    <t>   New York</t>
  </si>
  <si>
    <t>   North Carolina</t>
  </si>
  <si>
    <t>   North Dakota</t>
  </si>
  <si>
    <t>   Ohio</t>
  </si>
  <si>
    <t>   Oklahoma</t>
  </si>
  <si>
    <t>   Oregon</t>
  </si>
  <si>
    <t>   Pennsylvania</t>
  </si>
  <si>
    <t>   Rhode Island</t>
  </si>
  <si>
    <t>   South Carolina</t>
  </si>
  <si>
    <t>   South Dakota</t>
  </si>
  <si>
    <t>   Tennessee</t>
  </si>
  <si>
    <t>   Texas</t>
  </si>
  <si>
    <t>   Utah</t>
  </si>
  <si>
    <t>   Vermont</t>
  </si>
  <si>
    <t>   Virginia</t>
  </si>
  <si>
    <t>   Washington</t>
  </si>
  <si>
    <t>   West Virginia</t>
  </si>
  <si>
    <t>   Wisconsin</t>
  </si>
  <si>
    <t>   Wyoming</t>
  </si>
  <si>
    <t>   Puerto Rico</t>
  </si>
  <si>
    <t>Percent Riding/day</t>
  </si>
  <si>
    <t>Dollars/day</t>
  </si>
  <si>
    <t>Dollars/year</t>
  </si>
  <si>
    <t>Census figures: http://eire.census.gov/popest/data/states/tables/NST-EST2003-01.php</t>
  </si>
  <si>
    <t>hydrogen/gasoline equiv/hour/mile</t>
  </si>
  <si>
    <t>8 ' x 1 '  section of panel at $266.00 /foot</t>
  </si>
  <si>
    <t>8' x 20'  Steel Plate for Central Support two way</t>
  </si>
  <si>
    <t>Full Function Utility Substation</t>
  </si>
  <si>
    <t>Cost @ $ Mil/Mi</t>
  </si>
  <si>
    <t>Remote Public Station, and parking (Private Land)</t>
  </si>
  <si>
    <t>Total square foot of solar panel</t>
  </si>
  <si>
    <t>Total Acres of Solar Panel</t>
  </si>
  <si>
    <r>
      <t>1 acre = 43</t>
    </r>
    <r>
      <rPr>
        <b/>
        <sz val="7.5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560 square feet</t>
    </r>
  </si>
  <si>
    <t>Pairs of Stations/Mile</t>
  </si>
  <si>
    <t>Freight Car</t>
  </si>
  <si>
    <t>Car Ramp for Car Ferry w/ Parking Structure</t>
  </si>
  <si>
    <t>Commuter Public Car (60 Passenger)</t>
  </si>
  <si>
    <t>Kilometer / pair of rails</t>
  </si>
  <si>
    <t>$200 / foot * 3278 for Pair or Rails</t>
  </si>
  <si>
    <t>one quarter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</si>
  <si>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</si>
  <si>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</si>
  <si>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</si>
  <si>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</si>
  <si>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</si>
  <si>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</si>
  <si>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</si>
  <si>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</si>
  <si>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</si>
  <si>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</si>
  <si>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</si>
  <si>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</si>
  <si>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</si>
  <si>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</si>
  <si>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</si>
  <si>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</si>
  <si>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</si>
  <si>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</si>
  <si>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</si>
  <si>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</si>
  <si>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</si>
  <si>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</si>
  <si>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</si>
  <si>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</si>
  <si>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</si>
  <si>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</si>
  <si>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</si>
  <si>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</si>
  <si>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</si>
  <si>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</si>
  <si>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</si>
  <si>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</si>
  <si>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</si>
  <si>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</si>
  <si>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</si>
  <si>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</si>
  <si>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</si>
  <si>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</si>
  <si>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</si>
  <si>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</si>
  <si>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</si>
  <si>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</si>
  <si>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</si>
  <si>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</si>
  <si>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</si>
  <si>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</si>
  <si>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</si>
  <si>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</si>
  <si>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</si>
  <si>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</si>
  <si>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</si>
  <si>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</si>
  <si>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Typical Costs for Steel per ton</t>
  </si>
  <si>
    <t>Tons/Section</t>
  </si>
  <si>
    <t>Tons/mile</t>
  </si>
  <si>
    <t>Cost / Section</t>
  </si>
  <si>
    <t>Cost / Mile</t>
  </si>
  <si>
    <t>Cost / Kilometer</t>
  </si>
  <si>
    <t>Total Tons</t>
  </si>
  <si>
    <t>Total cost</t>
  </si>
  <si>
    <t>Cost per Kilometer Complete System</t>
  </si>
  <si>
    <t>Cost per Mile Complete System</t>
  </si>
  <si>
    <t>Balance</t>
  </si>
  <si>
    <t>Total Miles / Week</t>
  </si>
  <si>
    <t>Minutes in a year</t>
  </si>
  <si>
    <t>Leo asks the question:  How many gallons per minute will an acre process?</t>
  </si>
  <si>
    <t>Acres</t>
  </si>
  <si>
    <t>The Interstate Traveler Company, LLC</t>
  </si>
  <si>
    <t>Solar panel Calculations and Water to square foot of solar panel ratio.</t>
  </si>
  <si>
    <t>Adjust values in the yellow fields to adjust totals.</t>
  </si>
  <si>
    <t>Total Acres Available</t>
  </si>
  <si>
    <t>watts/squarefoot</t>
  </si>
  <si>
    <t>acres</t>
  </si>
  <si>
    <t>%of Available</t>
  </si>
  <si>
    <t>Squarfeet</t>
  </si>
  <si>
    <t>Total Hours/day</t>
  </si>
  <si>
    <t>Total Watts/day</t>
  </si>
  <si>
    <t>Total Watts/year</t>
  </si>
  <si>
    <t>Total Watts/house/year</t>
  </si>
  <si>
    <t>Total Houses Served</t>
  </si>
  <si>
    <t>Totall Gallons / Minute</t>
  </si>
  <si>
    <t>Watts/Year at 10 hours per day</t>
  </si>
  <si>
    <t>I 96 Coridor Townships</t>
  </si>
  <si>
    <t>Township</t>
  </si>
  <si>
    <t>County</t>
  </si>
  <si>
    <t>Population</t>
  </si>
  <si>
    <t>Supervisor</t>
  </si>
  <si>
    <t>Phone</t>
  </si>
  <si>
    <t>Fax</t>
  </si>
  <si>
    <t>Address</t>
  </si>
  <si>
    <t>Address 2</t>
  </si>
  <si>
    <t>City</t>
  </si>
  <si>
    <t>Zip</t>
  </si>
  <si>
    <t>York Charter</t>
  </si>
  <si>
    <t>Washtenaw</t>
  </si>
  <si>
    <t>Bill Dean</t>
  </si>
  <si>
    <t>734-439-8842</t>
  </si>
  <si>
    <t>734-439-3016</t>
  </si>
  <si>
    <t>11560 Stoney Creek Rd</t>
  </si>
  <si>
    <t>Milan</t>
  </si>
  <si>
    <t>Pittsfield Charter</t>
  </si>
  <si>
    <t>James Walter</t>
  </si>
  <si>
    <t>734-944-4440</t>
  </si>
  <si>
    <t>734-944-0128</t>
  </si>
  <si>
    <t>6201 Michigan Ave</t>
  </si>
  <si>
    <t>Ann Arbor</t>
  </si>
  <si>
    <t>Genoa</t>
  </si>
  <si>
    <t>Livingston</t>
  </si>
  <si>
    <t>Gary McCririe</t>
  </si>
  <si>
    <t>810-227-5225</t>
  </si>
  <si>
    <t>810-227-3420</t>
  </si>
  <si>
    <t>2911 Dorr Rd</t>
  </si>
  <si>
    <t>Brighton</t>
  </si>
  <si>
    <t>Handy</t>
  </si>
  <si>
    <t>Cynthia Denby</t>
  </si>
  <si>
    <t>517-223-3228</t>
  </si>
  <si>
    <t>517-223-3983</t>
  </si>
  <si>
    <t>135 N. Grand Ave</t>
  </si>
  <si>
    <t>PO Box 315</t>
  </si>
  <si>
    <t>Fowlerville</t>
  </si>
  <si>
    <t>Howell</t>
  </si>
  <si>
    <t>William Earl</t>
  </si>
  <si>
    <t>517-546-2817</t>
  </si>
  <si>
    <t>517-546-1483</t>
  </si>
  <si>
    <t>3525 Byron Rd.</t>
  </si>
  <si>
    <t>John Rogers</t>
  </si>
  <si>
    <t>810-229-0550</t>
  </si>
  <si>
    <t>313-229-1778</t>
  </si>
  <si>
    <t>4363 Buno Rd</t>
  </si>
  <si>
    <t>Plainfield Charter</t>
  </si>
  <si>
    <t>Kent</t>
  </si>
  <si>
    <t>David M Goenleer</t>
  </si>
  <si>
    <t>616-364-8466</t>
  </si>
  <si>
    <t>616-364-6537</t>
  </si>
  <si>
    <t>6161 Belmont Ave N.E.</t>
  </si>
  <si>
    <t>PO Box 365</t>
  </si>
  <si>
    <t>Belmont</t>
  </si>
  <si>
    <t>Lowell Charter</t>
  </si>
  <si>
    <t>John Timpson</t>
  </si>
  <si>
    <t>616-897-7600</t>
  </si>
  <si>
    <t>616-897-6482</t>
  </si>
  <si>
    <t>2910 Alden Nash Ave. S.E.</t>
  </si>
  <si>
    <t>PO Box 37</t>
  </si>
  <si>
    <t>Lowell</t>
  </si>
  <si>
    <t>Grand Rapids Charter</t>
  </si>
  <si>
    <t>Michael DeVries</t>
  </si>
  <si>
    <t>616-361-7391</t>
  </si>
  <si>
    <t>616-361-6620</t>
  </si>
  <si>
    <t>1836 E. Beltline Ave. N.E.</t>
  </si>
  <si>
    <t>Grand Rapids</t>
  </si>
  <si>
    <t>Cascade Charter</t>
  </si>
  <si>
    <t>Michael Julien</t>
  </si>
  <si>
    <t>616-949-1500</t>
  </si>
  <si>
    <t>616-949-3918</t>
  </si>
  <si>
    <t>2865 Thornhills Ave. S.E.</t>
  </si>
  <si>
    <t>Caledonia Charter</t>
  </si>
  <si>
    <t>Bryan Harrison</t>
  </si>
  <si>
    <t>616-891-0070</t>
  </si>
  <si>
    <t>616-891-0430</t>
  </si>
  <si>
    <t xml:space="preserve">250 Maple St. </t>
  </si>
  <si>
    <t>Caledonia</t>
  </si>
  <si>
    <t>Bowne</t>
  </si>
  <si>
    <t>Peter Silver</t>
  </si>
  <si>
    <t>616-868-6846</t>
  </si>
  <si>
    <t>616-868-0110</t>
  </si>
  <si>
    <t>6059 Linfield S.E.</t>
  </si>
  <si>
    <t>Alto</t>
  </si>
  <si>
    <t>Ada</t>
  </si>
  <si>
    <t>George Haga</t>
  </si>
  <si>
    <t>616-676-9191</t>
  </si>
  <si>
    <t>616-676-5870</t>
  </si>
  <si>
    <t>7330 Thornapple River Dr. S.E.</t>
  </si>
  <si>
    <t>PO Box 370</t>
  </si>
  <si>
    <t>Alpine</t>
  </si>
  <si>
    <t>Cindy Heinbeck</t>
  </si>
  <si>
    <t>616-784-1262</t>
  </si>
  <si>
    <t>616-784-1234</t>
  </si>
  <si>
    <t>5255 Alpine Ave, N.W.</t>
  </si>
  <si>
    <t>Comstock Park</t>
  </si>
  <si>
    <t>Sebewa</t>
  </si>
  <si>
    <t>Ionia</t>
  </si>
  <si>
    <t>James Stank</t>
  </si>
  <si>
    <t>616-374-8373</t>
  </si>
  <si>
    <t>616-374-8444</t>
  </si>
  <si>
    <t>778 Clarksville Rd.</t>
  </si>
  <si>
    <t>Portland</t>
  </si>
  <si>
    <t>Odessa</t>
  </si>
  <si>
    <t>Robert Cobb</t>
  </si>
  <si>
    <t>616-374-4237</t>
  </si>
  <si>
    <t>616-374-4257</t>
  </si>
  <si>
    <t>PO Box 575</t>
  </si>
  <si>
    <t>3862 Laural Dr.</t>
  </si>
  <si>
    <t>Lake Odessa</t>
  </si>
  <si>
    <t>Boston</t>
  </si>
  <si>
    <t>Robert Dunton</t>
  </si>
  <si>
    <t>616-642-6636</t>
  </si>
  <si>
    <t>616-642-0113</t>
  </si>
  <si>
    <t>PO Box 2</t>
  </si>
  <si>
    <t>Saranac</t>
  </si>
  <si>
    <t>Campbell</t>
  </si>
  <si>
    <t>Lyle Jackson</t>
  </si>
  <si>
    <t>616-693-2920</t>
  </si>
  <si>
    <t>PO Box 137</t>
  </si>
  <si>
    <t>Clarksville</t>
  </si>
  <si>
    <t>Danby</t>
  </si>
  <si>
    <t>Gary Reisbig</t>
  </si>
  <si>
    <t>517-649-2200</t>
  </si>
  <si>
    <t>517-649-0032</t>
  </si>
  <si>
    <t>13122 Charlotte Hwy</t>
  </si>
  <si>
    <t>Sunfield</t>
  </si>
  <si>
    <t>Meridian</t>
  </si>
  <si>
    <t>Ingham</t>
  </si>
  <si>
    <t>Susan McGillicuddy</t>
  </si>
  <si>
    <t>517-349-1200</t>
  </si>
  <si>
    <t>517-349-0506</t>
  </si>
  <si>
    <t>5151 Marsh Rd</t>
  </si>
  <si>
    <t>Okemos</t>
  </si>
  <si>
    <t>Williamstown</t>
  </si>
  <si>
    <t>Mickey Martin</t>
  </si>
  <si>
    <t>517-655-3193</t>
  </si>
  <si>
    <t>517-655-3917</t>
  </si>
  <si>
    <t>4990 Zimmer Rd</t>
  </si>
  <si>
    <t>Williamston</t>
  </si>
  <si>
    <t>Lansing Charter</t>
  </si>
  <si>
    <t>John Daher</t>
  </si>
  <si>
    <t>517-485-4063</t>
  </si>
  <si>
    <t>517-485-3276</t>
  </si>
  <si>
    <t>3209 W. Michigan Ave</t>
  </si>
  <si>
    <t>Lansing</t>
  </si>
  <si>
    <t>Leroy</t>
  </si>
  <si>
    <t>Neil West</t>
  </si>
  <si>
    <t>517-521-3729</t>
  </si>
  <si>
    <t>517-521-4665</t>
  </si>
  <si>
    <t>PO Box 416</t>
  </si>
  <si>
    <t>Webberville</t>
  </si>
  <si>
    <t>Oneida</t>
  </si>
  <si>
    <t>Eaton</t>
  </si>
  <si>
    <t>Donald Cooley</t>
  </si>
  <si>
    <t>517-627-8271</t>
  </si>
  <si>
    <t>517-627-5961</t>
  </si>
  <si>
    <t>Grand Ledge</t>
  </si>
  <si>
    <t>Delta Charter</t>
  </si>
  <si>
    <t>Joseph Drolett</t>
  </si>
  <si>
    <t>517-323-7750</t>
  </si>
  <si>
    <t>517-323-8599</t>
  </si>
  <si>
    <t>7710 W. Saginaw Hw</t>
  </si>
  <si>
    <t>Watertown Charter</t>
  </si>
  <si>
    <t>Clinton</t>
  </si>
  <si>
    <t>Edward McKeon</t>
  </si>
  <si>
    <t>517-626-6593</t>
  </si>
  <si>
    <t>517-626-6405</t>
  </si>
  <si>
    <t>12803 Wacousta Rd.</t>
  </si>
  <si>
    <t>Eagle</t>
  </si>
  <si>
    <t>David Morris</t>
  </si>
  <si>
    <t>517-627-7261</t>
  </si>
  <si>
    <t>517-626-2351</t>
  </si>
  <si>
    <t xml:space="preserve">PO Box 147 </t>
  </si>
  <si>
    <t>Total Population</t>
  </si>
  <si>
    <t>Org</t>
  </si>
  <si>
    <t>Total Miles/year</t>
  </si>
  <si>
    <t>Routes</t>
  </si>
  <si>
    <t>Trip Description</t>
  </si>
  <si>
    <t>Average Speed MPH</t>
  </si>
  <si>
    <t>Trip in Hours</t>
  </si>
  <si>
    <t>Trip in Minutes</t>
  </si>
  <si>
    <t>Minutes @ 70mph</t>
  </si>
  <si>
    <t>Cost per KM full install</t>
  </si>
  <si>
    <t>Cost of System</t>
  </si>
  <si>
    <t>Downtown Detroit to Downtown Chicago</t>
  </si>
  <si>
    <t>Ann Arbor to Detroit</t>
  </si>
  <si>
    <t>Lansing to Muskegon</t>
  </si>
  <si>
    <t>Detroit to Lansing</t>
  </si>
  <si>
    <t>Muskegon to Chicago</t>
  </si>
  <si>
    <t>Brighton to Ann Arbor</t>
  </si>
  <si>
    <t>Ann Arbor to Metro Airport</t>
  </si>
  <si>
    <t>Detroit to Brighton Via Ann Arbor</t>
  </si>
  <si>
    <t>Metropolitan Loops</t>
  </si>
  <si>
    <t>Cost per Mile full Install</t>
  </si>
  <si>
    <t>Total Cost of Loop</t>
  </si>
  <si>
    <t>Detroit City Loop</t>
  </si>
  <si>
    <t>What are the most commonly used routes</t>
  </si>
  <si>
    <t>Nested Domain Addressing System</t>
  </si>
  <si>
    <t>Top Level</t>
  </si>
  <si>
    <t>USA</t>
  </si>
  <si>
    <t>Second</t>
  </si>
  <si>
    <t>Third</t>
  </si>
  <si>
    <t>Fourth</t>
  </si>
  <si>
    <t>Township / City / Villiage</t>
  </si>
  <si>
    <t>Fifth</t>
  </si>
  <si>
    <t>Private Network</t>
  </si>
  <si>
    <t>Sixth</t>
  </si>
  <si>
    <t>Private Terminal</t>
  </si>
  <si>
    <t>Example of Addressing Method</t>
  </si>
  <si>
    <t>Marker:</t>
  </si>
  <si>
    <t>.</t>
  </si>
  <si>
    <t>Ordinate</t>
  </si>
  <si>
    <t>Value / Position</t>
  </si>
  <si>
    <t>Wayne County</t>
  </si>
  <si>
    <t>Redford</t>
  </si>
  <si>
    <t>Shopping Center</t>
  </si>
  <si>
    <t>Stop Number</t>
  </si>
  <si>
    <t>Departure ID</t>
  </si>
  <si>
    <t>Cook County</t>
  </si>
  <si>
    <t>Chicago</t>
  </si>
  <si>
    <t>Destination ID</t>
  </si>
  <si>
    <t xml:space="preserve">Justin@InterstateTraveler.us </t>
  </si>
  <si>
    <t>180 Mile Loop for Long Island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</si>
</sst>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.000"/>
    <numFmt numFmtId="170" formatCode="&quot;$&quot;#,##0.0000000"/>
    <numFmt numFmtId="171" formatCode="0.0%"/>
    <numFmt numFmtId="172" formatCode="0.000"/>
    <numFmt numFmtId="173" formatCode="&quot;$&quot;#,##0"/>
    <numFmt numFmtId="174" formatCode="&quot;$&quot;#,##0.0000"/>
    <numFmt numFmtId="175" formatCode="&quot;$&quot;#,##0.00000"/>
    <numFmt numFmtId="176" formatCode="0.0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&quot;$&quot;#,##0.00000000"/>
    <numFmt numFmtId="182" formatCode="&quot;$&quot;#,##0.000000"/>
    <numFmt numFmtId="183" formatCode="&quot;$&quot;#,##0.0000000000"/>
    <numFmt numFmtId="184" formatCode="0.0000%"/>
    <numFmt numFmtId="185" formatCode="0.000000%"/>
    <numFmt numFmtId="186" formatCode="0.0000000%"/>
    <numFmt numFmtId="187" formatCode="0.00000000%"/>
    <numFmt numFmtId="188" formatCode="0.00000000"/>
    <numFmt numFmtId="189" formatCode="0.0000000000000"/>
    <numFmt numFmtId="190" formatCode="0.0000000000000000"/>
    <numFmt numFmtId="191" formatCode="_(* #,##0.000000000_);_(* \(#,##0.000000000\);_(* &quot;-&quot;?????????_);_(@_)"/>
    <numFmt numFmtId="192" formatCode="0.000000000000000000000000000000"/>
    <numFmt numFmtId="193" formatCode="_(* #,##0.0000000000_);_(* \(#,##0.0000000000\);_(* &quot;-&quot;??????????_);_(@_)"/>
    <numFmt numFmtId="194" formatCode="_(* #,##0.0000000000000000_);_(* \(#,##0.0000000000000000\);_(* &quot;-&quot;????????????????_);_(@_)"/>
    <numFmt numFmtId="195" formatCode="_(* #,##0.0_);_(* \(#,##0.0\);_(* &quot;-&quot;?_);_(@_)"/>
    <numFmt numFmtId="196" formatCode="0.00000%"/>
    <numFmt numFmtId="197" formatCode="0.0000"/>
    <numFmt numFmtId="198" formatCode="0.00000"/>
    <numFmt numFmtId="199" formatCode="0.000000"/>
    <numFmt numFmtId="200" formatCode="#,##0.0"/>
    <numFmt numFmtId="201" formatCode="#,##0.000"/>
    <numFmt numFmtId="202" formatCode="0.000%"/>
    <numFmt numFmtId="203" formatCode="#,##0.0000"/>
    <numFmt numFmtId="204" formatCode="#,##0.00000"/>
    <numFmt numFmtId="205" formatCode="#,##0.000000"/>
    <numFmt numFmtId="206" formatCode="#,##0.0000000"/>
    <numFmt numFmtId="207" formatCode="&quot;$&quot;#,##0.0"/>
    <numFmt numFmtId="208" formatCode="_(&quot;$&quot;* #,##0_);_(&quot;$&quot;* \(#,##0\);_(&quot;$&quot;* &quot;-&quot;??_);_(@_)"/>
    <numFmt numFmtId="209" formatCode="_(&quot;$&quot;* #,##0.0000_);_(&quot;$&quot;* \(#,##0.0000\);_(&quot;$&quot;* &quot;-&quot;??_);_(@_)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26"/>
      <name val="Arial"/>
      <family val="0"/>
    </font>
    <font>
      <sz val="16"/>
      <name val="Bookman Old Style"/>
      <family val="1"/>
    </font>
    <font>
      <sz val="10"/>
      <name val="Verdana"/>
      <family val="2"/>
    </font>
    <font>
      <b/>
      <sz val="16"/>
      <name val="Arial"/>
      <family val="2"/>
    </font>
    <font>
      <sz val="18"/>
      <name val="Arial"/>
      <family val="0"/>
    </font>
    <font>
      <i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20"/>
      <name val="Arial"/>
      <family val="0"/>
    </font>
    <font>
      <b/>
      <sz val="26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b/>
      <i/>
      <sz val="16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u val="single"/>
      <sz val="8"/>
      <name val="Arial"/>
      <family val="0"/>
    </font>
    <font>
      <i/>
      <sz val="8"/>
      <name val="Arial"/>
      <family val="2"/>
    </font>
    <font>
      <sz val="11"/>
      <name val="Arial"/>
      <family val="0"/>
    </font>
    <font>
      <b/>
      <sz val="11"/>
      <color indexed="43"/>
      <name val="Arial"/>
      <family val="2"/>
    </font>
    <font>
      <sz val="10"/>
      <color indexed="43"/>
      <name val="Arial"/>
      <family val="0"/>
    </font>
    <font>
      <sz val="12"/>
      <color indexed="43"/>
      <name val="Arial"/>
      <family val="0"/>
    </font>
    <font>
      <sz val="14"/>
      <name val="Arial"/>
      <family val="0"/>
    </font>
    <font>
      <sz val="9"/>
      <name val="Arial"/>
      <family val="2"/>
    </font>
    <font>
      <b/>
      <u val="single"/>
      <sz val="12"/>
      <color indexed="43"/>
      <name val="Arial"/>
      <family val="0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b/>
      <sz val="12"/>
      <color indexed="8"/>
      <name val="Arial"/>
      <family val="2"/>
    </font>
    <font>
      <b/>
      <sz val="7.5"/>
      <color indexed="8"/>
      <name val="Arial"/>
      <family val="2"/>
    </font>
    <font>
      <sz val="22"/>
      <name val="Arial"/>
      <family val="0"/>
    </font>
    <font>
      <b/>
      <sz val="8"/>
      <color indexed="8"/>
      <name val="Verdana"/>
      <family val="2"/>
    </font>
    <font>
      <sz val="12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</fills>
  <borders count="4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9"/>
      </left>
      <right style="thin">
        <color indexed="8"/>
      </right>
      <top style="medium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9"/>
      </top>
      <bottom style="thin">
        <color indexed="8"/>
      </bottom>
    </border>
    <border>
      <left style="thin">
        <color indexed="8"/>
      </left>
      <right style="medium">
        <color indexed="9"/>
      </right>
      <top style="medium">
        <color indexed="9"/>
      </top>
      <bottom style="thin">
        <color indexed="8"/>
      </bottom>
    </border>
    <border>
      <left style="medium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9"/>
      </right>
      <top style="thin">
        <color indexed="8"/>
      </top>
      <bottom style="thin">
        <color indexed="8"/>
      </bottom>
    </border>
    <border>
      <left style="medium">
        <color indexed="9"/>
      </left>
      <right style="thin">
        <color indexed="8"/>
      </right>
      <top style="thin">
        <color indexed="8"/>
      </top>
      <bottom style="medium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9"/>
      </bottom>
    </border>
    <border>
      <left style="thin">
        <color indexed="8"/>
      </left>
      <right style="medium">
        <color indexed="9"/>
      </right>
      <top style="thin">
        <color indexed="8"/>
      </top>
      <bottom style="medium">
        <color indexed="9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2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20" applyAlignment="1">
      <alignment/>
    </xf>
    <xf numFmtId="168" fontId="0" fillId="0" borderId="2" xfId="0" applyNumberFormat="1" applyFont="1" applyBorder="1" applyAlignment="1">
      <alignment/>
    </xf>
    <xf numFmtId="168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9" fillId="0" borderId="0" xfId="0" applyFont="1" applyAlignment="1">
      <alignment/>
    </xf>
    <xf numFmtId="0" fontId="0" fillId="0" borderId="3" xfId="0" applyFont="1" applyBorder="1" applyAlignment="1">
      <alignment/>
    </xf>
    <xf numFmtId="2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11" fillId="0" borderId="0" xfId="0" applyFont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9" fillId="0" borderId="0" xfId="0" applyFont="1" applyAlignment="1">
      <alignment horizontal="right"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2" borderId="0" xfId="0" applyFill="1" applyAlignment="1">
      <alignment horizontal="center"/>
    </xf>
    <xf numFmtId="10" fontId="0" fillId="0" borderId="0" xfId="0" applyNumberFormat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168" fontId="0" fillId="0" borderId="9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0" fontId="14" fillId="0" borderId="0" xfId="0" applyFont="1" applyAlignment="1">
      <alignment/>
    </xf>
    <xf numFmtId="168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168" fontId="14" fillId="0" borderId="0" xfId="0" applyNumberFormat="1" applyFont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 horizontal="right"/>
    </xf>
    <xf numFmtId="168" fontId="7" fillId="0" borderId="0" xfId="0" applyNumberFormat="1" applyFont="1" applyAlignment="1">
      <alignment horizontal="left"/>
    </xf>
    <xf numFmtId="0" fontId="6" fillId="2" borderId="4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4" fontId="0" fillId="0" borderId="2" xfId="0" applyNumberFormat="1" applyBorder="1" applyAlignment="1">
      <alignment/>
    </xf>
    <xf numFmtId="0" fontId="0" fillId="0" borderId="0" xfId="0" applyAlignment="1">
      <alignment horizontal="right"/>
    </xf>
    <xf numFmtId="0" fontId="0" fillId="2" borderId="2" xfId="0" applyFill="1" applyBorder="1" applyAlignment="1">
      <alignment/>
    </xf>
    <xf numFmtId="0" fontId="17" fillId="0" borderId="0" xfId="0" applyFont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4" fillId="0" borderId="0" xfId="0" applyFont="1" applyAlignment="1">
      <alignment wrapText="1"/>
    </xf>
    <xf numFmtId="0" fontId="14" fillId="3" borderId="16" xfId="0" applyFont="1" applyFill="1" applyBorder="1" applyAlignment="1" applyProtection="1">
      <alignment wrapText="1"/>
      <protection locked="0"/>
    </xf>
    <xf numFmtId="0" fontId="14" fillId="3" borderId="5" xfId="0" applyFont="1" applyFill="1" applyBorder="1" applyAlignment="1" applyProtection="1">
      <alignment wrapText="1"/>
      <protection locked="0"/>
    </xf>
    <xf numFmtId="6" fontId="0" fillId="3" borderId="5" xfId="0" applyNumberFormat="1" applyFill="1" applyBorder="1" applyAlignment="1" applyProtection="1">
      <alignment wrapText="1"/>
      <protection locked="0"/>
    </xf>
    <xf numFmtId="0" fontId="8" fillId="4" borderId="0" xfId="0" applyFont="1" applyFill="1" applyAlignment="1">
      <alignment/>
    </xf>
    <xf numFmtId="8" fontId="0" fillId="0" borderId="0" xfId="0" applyNumberFormat="1" applyAlignment="1">
      <alignment/>
    </xf>
    <xf numFmtId="0" fontId="0" fillId="0" borderId="9" xfId="0" applyBorder="1" applyAlignment="1">
      <alignment horizontal="right"/>
    </xf>
    <xf numFmtId="4" fontId="0" fillId="0" borderId="9" xfId="0" applyNumberFormat="1" applyBorder="1" applyAlignment="1">
      <alignment/>
    </xf>
    <xf numFmtId="0" fontId="0" fillId="2" borderId="0" xfId="0" applyFill="1" applyAlignment="1">
      <alignment horizontal="right"/>
    </xf>
    <xf numFmtId="2" fontId="0" fillId="3" borderId="16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2" fontId="0" fillId="3" borderId="17" xfId="0" applyNumberFormat="1" applyFill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9" fillId="2" borderId="0" xfId="0" applyFont="1" applyFill="1" applyAlignment="1">
      <alignment horizontal="center"/>
    </xf>
    <xf numFmtId="4" fontId="9" fillId="0" borderId="0" xfId="0" applyNumberFormat="1" applyFont="1" applyAlignment="1">
      <alignment/>
    </xf>
    <xf numFmtId="0" fontId="18" fillId="0" borderId="0" xfId="0" applyFont="1" applyAlignment="1">
      <alignment/>
    </xf>
    <xf numFmtId="3" fontId="0" fillId="0" borderId="2" xfId="0" applyNumberFormat="1" applyBorder="1" applyAlignment="1">
      <alignment/>
    </xf>
    <xf numFmtId="0" fontId="19" fillId="5" borderId="1" xfId="0" applyFont="1" applyFill="1" applyBorder="1" applyAlignment="1">
      <alignment/>
    </xf>
    <xf numFmtId="0" fontId="19" fillId="5" borderId="4" xfId="0" applyFont="1" applyFill="1" applyBorder="1" applyAlignment="1">
      <alignment/>
    </xf>
    <xf numFmtId="0" fontId="20" fillId="5" borderId="5" xfId="0" applyFont="1" applyFill="1" applyBorder="1" applyAlignment="1">
      <alignment/>
    </xf>
    <xf numFmtId="6" fontId="0" fillId="0" borderId="0" xfId="0" applyNumberFormat="1" applyAlignment="1">
      <alignment/>
    </xf>
    <xf numFmtId="174" fontId="9" fillId="0" borderId="9" xfId="0" applyNumberFormat="1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21" fillId="2" borderId="4" xfId="0" applyFont="1" applyFill="1" applyBorder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7" xfId="0" applyBorder="1" applyAlignment="1">
      <alignment/>
    </xf>
    <xf numFmtId="0" fontId="0" fillId="0" borderId="7" xfId="0" applyFill="1" applyBorder="1" applyAlignment="1">
      <alignment horizontal="right"/>
    </xf>
    <xf numFmtId="4" fontId="0" fillId="0" borderId="0" xfId="0" applyNumberFormat="1" applyBorder="1" applyAlignment="1">
      <alignment/>
    </xf>
    <xf numFmtId="175" fontId="0" fillId="0" borderId="0" xfId="0" applyNumberFormat="1" applyAlignment="1">
      <alignment/>
    </xf>
    <xf numFmtId="0" fontId="9" fillId="6" borderId="18" xfId="0" applyFont="1" applyFill="1" applyBorder="1" applyAlignment="1" applyProtection="1">
      <alignment/>
      <protection locked="0"/>
    </xf>
    <xf numFmtId="0" fontId="9" fillId="6" borderId="19" xfId="0" applyFont="1" applyFill="1" applyBorder="1" applyAlignment="1" applyProtection="1">
      <alignment/>
      <protection locked="0"/>
    </xf>
    <xf numFmtId="9" fontId="9" fillId="6" borderId="19" xfId="0" applyNumberFormat="1" applyFont="1" applyFill="1" applyBorder="1" applyAlignment="1" applyProtection="1">
      <alignment/>
      <protection locked="0"/>
    </xf>
    <xf numFmtId="168" fontId="9" fillId="6" borderId="20" xfId="0" applyNumberFormat="1" applyFont="1" applyFill="1" applyBorder="1" applyAlignment="1" applyProtection="1">
      <alignment/>
      <protection locked="0"/>
    </xf>
    <xf numFmtId="9" fontId="0" fillId="5" borderId="21" xfId="21" applyFill="1" applyBorder="1" applyAlignment="1" applyProtection="1">
      <alignment/>
      <protection locked="0"/>
    </xf>
    <xf numFmtId="0" fontId="22" fillId="0" borderId="0" xfId="0" applyFont="1" applyAlignment="1">
      <alignment/>
    </xf>
    <xf numFmtId="14" fontId="5" fillId="0" borderId="0" xfId="0" applyNumberFormat="1" applyFont="1" applyAlignment="1">
      <alignment/>
    </xf>
    <xf numFmtId="0" fontId="13" fillId="0" borderId="22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Alignment="1">
      <alignment horizontal="left"/>
    </xf>
    <xf numFmtId="168" fontId="9" fillId="0" borderId="0" xfId="0" applyNumberFormat="1" applyFont="1" applyAlignment="1">
      <alignment/>
    </xf>
    <xf numFmtId="180" fontId="0" fillId="0" borderId="0" xfId="15" applyNumberFormat="1" applyAlignment="1">
      <alignment/>
    </xf>
    <xf numFmtId="0" fontId="0" fillId="0" borderId="0" xfId="0" applyBorder="1" applyAlignment="1">
      <alignment horizontal="center"/>
    </xf>
    <xf numFmtId="168" fontId="0" fillId="0" borderId="0" xfId="0" applyNumberFormat="1" applyBorder="1" applyAlignment="1">
      <alignment/>
    </xf>
    <xf numFmtId="168" fontId="0" fillId="0" borderId="4" xfId="0" applyNumberFormat="1" applyFill="1" applyBorder="1" applyAlignment="1">
      <alignment/>
    </xf>
    <xf numFmtId="0" fontId="9" fillId="7" borderId="23" xfId="0" applyFont="1" applyFill="1" applyBorder="1" applyAlignment="1">
      <alignment/>
    </xf>
    <xf numFmtId="182" fontId="9" fillId="7" borderId="20" xfId="0" applyNumberFormat="1" applyFont="1" applyFill="1" applyBorder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168" fontId="14" fillId="0" borderId="2" xfId="0" applyNumberFormat="1" applyFont="1" applyBorder="1" applyAlignment="1">
      <alignment/>
    </xf>
    <xf numFmtId="0" fontId="9" fillId="5" borderId="16" xfId="0" applyFont="1" applyFill="1" applyBorder="1" applyAlignment="1" applyProtection="1">
      <alignment/>
      <protection locked="0"/>
    </xf>
    <xf numFmtId="2" fontId="9" fillId="0" borderId="16" xfId="0" applyNumberFormat="1" applyFont="1" applyFill="1" applyBorder="1" applyAlignment="1">
      <alignment/>
    </xf>
    <xf numFmtId="2" fontId="9" fillId="0" borderId="16" xfId="0" applyNumberFormat="1" applyFont="1" applyFill="1" applyBorder="1" applyAlignment="1" applyProtection="1">
      <alignment/>
      <protection/>
    </xf>
    <xf numFmtId="4" fontId="9" fillId="0" borderId="16" xfId="0" applyNumberFormat="1" applyFont="1" applyBorder="1" applyAlignment="1">
      <alignment/>
    </xf>
    <xf numFmtId="0" fontId="15" fillId="0" borderId="0" xfId="0" applyFont="1" applyAlignment="1">
      <alignment horizontal="right"/>
    </xf>
    <xf numFmtId="168" fontId="9" fillId="0" borderId="0" xfId="0" applyNumberFormat="1" applyFont="1" applyFill="1" applyAlignment="1">
      <alignment/>
    </xf>
    <xf numFmtId="183" fontId="9" fillId="0" borderId="0" xfId="0" applyNumberFormat="1" applyFont="1" applyFill="1" applyBorder="1" applyAlignment="1" applyProtection="1">
      <alignment/>
      <protection locked="0"/>
    </xf>
    <xf numFmtId="168" fontId="0" fillId="0" borderId="2" xfId="0" applyNumberFormat="1" applyFont="1" applyFill="1" applyBorder="1" applyAlignment="1">
      <alignment horizontal="left"/>
    </xf>
    <xf numFmtId="0" fontId="9" fillId="6" borderId="24" xfId="0" applyFont="1" applyFill="1" applyBorder="1" applyAlignment="1" applyProtection="1">
      <alignment/>
      <protection locked="0"/>
    </xf>
    <xf numFmtId="0" fontId="9" fillId="6" borderId="23" xfId="0" applyFont="1" applyFill="1" applyBorder="1" applyAlignment="1" applyProtection="1">
      <alignment/>
      <protection locked="0"/>
    </xf>
    <xf numFmtId="0" fontId="0" fillId="0" borderId="9" xfId="0" applyFont="1" applyFill="1" applyBorder="1" applyAlignment="1">
      <alignment/>
    </xf>
    <xf numFmtId="168" fontId="0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169" fontId="14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169" fontId="14" fillId="0" borderId="4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9" xfId="0" applyFont="1" applyBorder="1" applyAlignment="1">
      <alignment horizontal="left"/>
    </xf>
    <xf numFmtId="0" fontId="0" fillId="2" borderId="7" xfId="0" applyFill="1" applyBorder="1" applyAlignment="1">
      <alignment horizontal="right"/>
    </xf>
    <xf numFmtId="4" fontId="1" fillId="0" borderId="0" xfId="20" applyNumberFormat="1" applyAlignment="1">
      <alignment/>
    </xf>
    <xf numFmtId="0" fontId="0" fillId="2" borderId="0" xfId="0" applyFill="1" applyAlignment="1">
      <alignment horizontal="left"/>
    </xf>
    <xf numFmtId="9" fontId="0" fillId="0" borderId="0" xfId="21" applyAlignment="1">
      <alignment/>
    </xf>
    <xf numFmtId="0" fontId="0" fillId="5" borderId="16" xfId="0" applyNumberFormat="1" applyFont="1" applyFill="1" applyBorder="1" applyAlignment="1" applyProtection="1">
      <alignment horizontal="right"/>
      <protection locked="0"/>
    </xf>
    <xf numFmtId="168" fontId="0" fillId="5" borderId="0" xfId="0" applyNumberFormat="1" applyFill="1" applyAlignment="1" applyProtection="1">
      <alignment/>
      <protection locked="0"/>
    </xf>
    <xf numFmtId="168" fontId="0" fillId="5" borderId="10" xfId="0" applyNumberFormat="1" applyFill="1" applyBorder="1" applyAlignment="1" applyProtection="1">
      <alignment/>
      <protection locked="0"/>
    </xf>
    <xf numFmtId="168" fontId="0" fillId="0" borderId="0" xfId="0" applyNumberFormat="1" applyAlignment="1" applyProtection="1">
      <alignment/>
      <protection/>
    </xf>
    <xf numFmtId="168" fontId="0" fillId="5" borderId="0" xfId="0" applyNumberFormat="1" applyFill="1" applyBorder="1" applyAlignment="1" applyProtection="1">
      <alignment/>
      <protection locked="0"/>
    </xf>
    <xf numFmtId="168" fontId="0" fillId="5" borderId="0" xfId="0" applyNumberFormat="1" applyFill="1" applyAlignment="1" applyProtection="1">
      <alignment/>
      <protection/>
    </xf>
    <xf numFmtId="3" fontId="9" fillId="0" borderId="0" xfId="0" applyNumberFormat="1" applyFont="1" applyAlignment="1">
      <alignment/>
    </xf>
    <xf numFmtId="0" fontId="0" fillId="5" borderId="0" xfId="0" applyFill="1" applyAlignment="1" applyProtection="1">
      <alignment/>
      <protection/>
    </xf>
    <xf numFmtId="6" fontId="0" fillId="5" borderId="0" xfId="0" applyNumberFormat="1" applyFill="1" applyAlignment="1" applyProtection="1">
      <alignment/>
      <protection/>
    </xf>
    <xf numFmtId="0" fontId="14" fillId="0" borderId="5" xfId="0" applyFont="1" applyBorder="1" applyAlignment="1" applyProtection="1">
      <alignment wrapText="1"/>
      <protection/>
    </xf>
    <xf numFmtId="0" fontId="0" fillId="2" borderId="0" xfId="0" applyFill="1" applyBorder="1" applyAlignment="1">
      <alignment horizontal="center"/>
    </xf>
    <xf numFmtId="2" fontId="0" fillId="0" borderId="0" xfId="0" applyNumberFormat="1" applyAlignment="1">
      <alignment/>
    </xf>
    <xf numFmtId="0" fontId="23" fillId="0" borderId="0" xfId="0" applyFont="1" applyAlignment="1">
      <alignment/>
    </xf>
    <xf numFmtId="0" fontId="14" fillId="0" borderId="0" xfId="0" applyFont="1" applyBorder="1" applyAlignment="1">
      <alignment horizontal="right"/>
    </xf>
    <xf numFmtId="168" fontId="0" fillId="0" borderId="0" xfId="0" applyNumberFormat="1" applyFill="1" applyAlignment="1">
      <alignment/>
    </xf>
    <xf numFmtId="9" fontId="0" fillId="3" borderId="23" xfId="21" applyFill="1" applyBorder="1" applyAlignment="1">
      <alignment/>
    </xf>
    <xf numFmtId="0" fontId="0" fillId="5" borderId="25" xfId="0" applyFill="1" applyBorder="1" applyAlignment="1">
      <alignment/>
    </xf>
    <xf numFmtId="180" fontId="0" fillId="3" borderId="23" xfId="15" applyNumberFormat="1" applyFill="1" applyBorder="1" applyAlignment="1">
      <alignment/>
    </xf>
    <xf numFmtId="0" fontId="24" fillId="0" borderId="0" xfId="0" applyFont="1" applyAlignment="1">
      <alignment vertical="top"/>
    </xf>
    <xf numFmtId="180" fontId="0" fillId="3" borderId="23" xfId="15" applyNumberFormat="1" applyFont="1" applyFill="1" applyBorder="1" applyAlignment="1">
      <alignment/>
    </xf>
    <xf numFmtId="168" fontId="0" fillId="5" borderId="26" xfId="0" applyNumberFormat="1" applyFill="1" applyBorder="1" applyAlignment="1">
      <alignment/>
    </xf>
    <xf numFmtId="0" fontId="0" fillId="5" borderId="27" xfId="0" applyFill="1" applyBorder="1" applyAlignment="1">
      <alignment/>
    </xf>
    <xf numFmtId="0" fontId="0" fillId="5" borderId="28" xfId="0" applyFill="1" applyBorder="1" applyAlignment="1">
      <alignment horizontal="center"/>
    </xf>
    <xf numFmtId="0" fontId="25" fillId="0" borderId="0" xfId="0" applyFont="1" applyAlignment="1">
      <alignment horizontal="right"/>
    </xf>
    <xf numFmtId="174" fontId="0" fillId="3" borderId="23" xfId="0" applyNumberFormat="1" applyFill="1" applyBorder="1" applyAlignment="1">
      <alignment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9" fontId="0" fillId="5" borderId="16" xfId="0" applyNumberFormat="1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11" fillId="2" borderId="0" xfId="0" applyFont="1" applyFill="1" applyAlignment="1">
      <alignment/>
    </xf>
    <xf numFmtId="173" fontId="0" fillId="3" borderId="23" xfId="0" applyNumberFormat="1" applyFill="1" applyBorder="1" applyAlignment="1">
      <alignment/>
    </xf>
    <xf numFmtId="168" fontId="0" fillId="2" borderId="0" xfId="0" applyNumberFormat="1" applyFill="1" applyAlignment="1">
      <alignment/>
    </xf>
    <xf numFmtId="173" fontId="0" fillId="2" borderId="32" xfId="0" applyNumberFormat="1" applyFill="1" applyBorder="1" applyAlignment="1">
      <alignment/>
    </xf>
    <xf numFmtId="173" fontId="0" fillId="2" borderId="0" xfId="0" applyNumberFormat="1" applyFill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ill="1" applyAlignment="1">
      <alignment/>
    </xf>
    <xf numFmtId="173" fontId="0" fillId="0" borderId="9" xfId="0" applyNumberFormat="1" applyBorder="1" applyAlignment="1">
      <alignment/>
    </xf>
    <xf numFmtId="9" fontId="0" fillId="0" borderId="0" xfId="0" applyNumberFormat="1" applyAlignment="1">
      <alignment/>
    </xf>
    <xf numFmtId="168" fontId="0" fillId="0" borderId="2" xfId="0" applyNumberFormat="1" applyFill="1" applyBorder="1" applyAlignment="1">
      <alignment/>
    </xf>
    <xf numFmtId="0" fontId="14" fillId="0" borderId="0" xfId="0" applyFont="1" applyFill="1" applyAlignment="1">
      <alignment/>
    </xf>
    <xf numFmtId="168" fontId="14" fillId="0" borderId="2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168" fontId="0" fillId="0" borderId="9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>
      <alignment/>
    </xf>
    <xf numFmtId="168" fontId="0" fillId="3" borderId="0" xfId="0" applyNumberFormat="1" applyFill="1" applyAlignment="1">
      <alignment/>
    </xf>
    <xf numFmtId="168" fontId="0" fillId="3" borderId="10" xfId="0" applyNumberFormat="1" applyFill="1" applyBorder="1" applyAlignment="1">
      <alignment/>
    </xf>
    <xf numFmtId="168" fontId="0" fillId="0" borderId="10" xfId="0" applyNumberFormat="1" applyFill="1" applyBorder="1" applyAlignment="1">
      <alignment/>
    </xf>
    <xf numFmtId="168" fontId="0" fillId="3" borderId="0" xfId="0" applyNumberFormat="1" applyFill="1" applyAlignment="1" applyProtection="1">
      <alignment/>
      <protection/>
    </xf>
    <xf numFmtId="0" fontId="26" fillId="0" borderId="16" xfId="0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4" fontId="27" fillId="8" borderId="2" xfId="0" applyNumberFormat="1" applyFont="1" applyFill="1" applyBorder="1" applyAlignment="1">
      <alignment/>
    </xf>
    <xf numFmtId="4" fontId="27" fillId="8" borderId="2" xfId="0" applyNumberFormat="1" applyFont="1" applyFill="1" applyBorder="1" applyAlignment="1">
      <alignment/>
    </xf>
    <xf numFmtId="9" fontId="9" fillId="6" borderId="19" xfId="21" applyFont="1" applyFill="1" applyBorder="1" applyAlignment="1" applyProtection="1">
      <alignment/>
      <protection locked="0"/>
    </xf>
    <xf numFmtId="10" fontId="0" fillId="0" borderId="2" xfId="0" applyNumberFormat="1" applyBorder="1" applyAlignment="1">
      <alignment/>
    </xf>
    <xf numFmtId="168" fontId="28" fillId="8" borderId="2" xfId="0" applyNumberFormat="1" applyFont="1" applyFill="1" applyBorder="1" applyAlignment="1">
      <alignment/>
    </xf>
    <xf numFmtId="4" fontId="0" fillId="0" borderId="0" xfId="0" applyNumberFormat="1" applyAlignment="1">
      <alignment horizontal="left"/>
    </xf>
    <xf numFmtId="0" fontId="30" fillId="0" borderId="0" xfId="0" applyFont="1" applyAlignment="1">
      <alignment horizontal="center"/>
    </xf>
    <xf numFmtId="200" fontId="0" fillId="0" borderId="0" xfId="0" applyNumberFormat="1" applyAlignment="1">
      <alignment/>
    </xf>
    <xf numFmtId="200" fontId="0" fillId="0" borderId="0" xfId="0" applyNumberFormat="1" applyAlignment="1">
      <alignment horizontal="left"/>
    </xf>
    <xf numFmtId="0" fontId="31" fillId="0" borderId="0" xfId="0" applyFont="1" applyAlignment="1">
      <alignment horizontal="right"/>
    </xf>
    <xf numFmtId="0" fontId="27" fillId="8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15" fillId="0" borderId="0" xfId="0" applyFont="1" applyAlignment="1">
      <alignment/>
    </xf>
    <xf numFmtId="168" fontId="0" fillId="0" borderId="10" xfId="0" applyNumberFormat="1" applyBorder="1" applyAlignment="1" applyProtection="1">
      <alignment/>
      <protection/>
    </xf>
    <xf numFmtId="173" fontId="1" fillId="2" borderId="32" xfId="20" applyNumberFormat="1" applyFill="1" applyBorder="1" applyAlignment="1">
      <alignment/>
    </xf>
    <xf numFmtId="0" fontId="28" fillId="8" borderId="0" xfId="0" applyFont="1" applyFill="1" applyAlignment="1">
      <alignment horizontal="right"/>
    </xf>
    <xf numFmtId="0" fontId="20" fillId="8" borderId="0" xfId="0" applyFont="1" applyFill="1" applyAlignment="1">
      <alignment horizontal="right"/>
    </xf>
    <xf numFmtId="168" fontId="21" fillId="3" borderId="20" xfId="0" applyNumberFormat="1" applyFont="1" applyFill="1" applyBorder="1" applyAlignment="1">
      <alignment/>
    </xf>
    <xf numFmtId="168" fontId="21" fillId="3" borderId="19" xfId="0" applyNumberFormat="1" applyFont="1" applyFill="1" applyBorder="1" applyAlignment="1">
      <alignment/>
    </xf>
    <xf numFmtId="0" fontId="29" fillId="8" borderId="0" xfId="0" applyFont="1" applyFill="1" applyAlignment="1">
      <alignment horizontal="right"/>
    </xf>
    <xf numFmtId="168" fontId="32" fillId="8" borderId="2" xfId="20" applyNumberFormat="1" applyFont="1" applyFill="1" applyBorder="1" applyAlignment="1">
      <alignment/>
    </xf>
    <xf numFmtId="9" fontId="9" fillId="0" borderId="0" xfId="21" applyFont="1" applyAlignment="1">
      <alignment/>
    </xf>
    <xf numFmtId="0" fontId="30" fillId="0" borderId="0" xfId="0" applyFont="1" applyAlignment="1">
      <alignment/>
    </xf>
    <xf numFmtId="9" fontId="30" fillId="0" borderId="0" xfId="21" applyFont="1" applyAlignment="1">
      <alignment/>
    </xf>
    <xf numFmtId="184" fontId="30" fillId="0" borderId="0" xfId="21" applyNumberFormat="1" applyFont="1" applyAlignment="1">
      <alignment/>
    </xf>
    <xf numFmtId="173" fontId="30" fillId="0" borderId="0" xfId="0" applyNumberFormat="1" applyFont="1" applyAlignment="1">
      <alignment/>
    </xf>
    <xf numFmtId="9" fontId="30" fillId="0" borderId="0" xfId="0" applyNumberFormat="1" applyFont="1" applyAlignment="1">
      <alignment/>
    </xf>
    <xf numFmtId="173" fontId="0" fillId="0" borderId="0" xfId="0" applyNumberFormat="1" applyAlignment="1">
      <alignment horizontal="right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/>
      <protection locked="0"/>
    </xf>
    <xf numFmtId="0" fontId="0" fillId="2" borderId="16" xfId="0" applyFill="1" applyBorder="1" applyAlignment="1">
      <alignment horizontal="center"/>
    </xf>
    <xf numFmtId="0" fontId="0" fillId="3" borderId="16" xfId="0" applyFill="1" applyBorder="1" applyAlignment="1" applyProtection="1">
      <alignment horizontal="center"/>
      <protection/>
    </xf>
    <xf numFmtId="0" fontId="0" fillId="0" borderId="9" xfId="0" applyFill="1" applyBorder="1" applyAlignment="1">
      <alignment horizontal="right"/>
    </xf>
    <xf numFmtId="172" fontId="9" fillId="0" borderId="0" xfId="21" applyNumberFormat="1" applyFont="1" applyAlignment="1">
      <alignment/>
    </xf>
    <xf numFmtId="173" fontId="0" fillId="0" borderId="0" xfId="0" applyNumberFormat="1" applyBorder="1" applyAlignment="1">
      <alignment/>
    </xf>
    <xf numFmtId="173" fontId="0" fillId="2" borderId="0" xfId="0" applyNumberFormat="1" applyFill="1" applyBorder="1" applyAlignment="1">
      <alignment/>
    </xf>
    <xf numFmtId="0" fontId="0" fillId="5" borderId="33" xfId="0" applyFill="1" applyBorder="1" applyAlignment="1">
      <alignment horizontal="right"/>
    </xf>
    <xf numFmtId="0" fontId="0" fillId="5" borderId="33" xfId="0" applyFill="1" applyBorder="1" applyAlignment="1">
      <alignment horizontal="left"/>
    </xf>
    <xf numFmtId="0" fontId="0" fillId="5" borderId="25" xfId="0" applyFill="1" applyBorder="1" applyAlignment="1">
      <alignment horizontal="left"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3" fontId="33" fillId="0" borderId="34" xfId="0" applyNumberFormat="1" applyFont="1" applyBorder="1" applyAlignment="1">
      <alignment horizontal="right" vertical="top" wrapText="1"/>
    </xf>
    <xf numFmtId="0" fontId="34" fillId="0" borderId="35" xfId="0" applyFont="1" applyBorder="1" applyAlignment="1">
      <alignment horizontal="center" vertical="top" wrapText="1"/>
    </xf>
    <xf numFmtId="0" fontId="34" fillId="0" borderId="36" xfId="0" applyFont="1" applyBorder="1" applyAlignment="1">
      <alignment horizontal="center" vertical="top" wrapText="1"/>
    </xf>
    <xf numFmtId="0" fontId="34" fillId="0" borderId="37" xfId="0" applyFont="1" applyBorder="1" applyAlignment="1">
      <alignment horizontal="center" vertical="top" wrapText="1"/>
    </xf>
    <xf numFmtId="0" fontId="34" fillId="0" borderId="38" xfId="0" applyFont="1" applyBorder="1" applyAlignment="1">
      <alignment horizontal="center" vertical="top" wrapText="1"/>
    </xf>
    <xf numFmtId="3" fontId="33" fillId="0" borderId="39" xfId="0" applyNumberFormat="1" applyFont="1" applyBorder="1" applyAlignment="1">
      <alignment horizontal="right" vertical="top" wrapText="1"/>
    </xf>
    <xf numFmtId="0" fontId="34" fillId="0" borderId="40" xfId="0" applyFont="1" applyBorder="1" applyAlignment="1">
      <alignment horizontal="center" vertical="top" wrapText="1"/>
    </xf>
    <xf numFmtId="3" fontId="33" fillId="0" borderId="41" xfId="0" applyNumberFormat="1" applyFont="1" applyBorder="1" applyAlignment="1">
      <alignment horizontal="right" vertical="top" wrapText="1"/>
    </xf>
    <xf numFmtId="3" fontId="33" fillId="0" borderId="42" xfId="0" applyNumberFormat="1" applyFont="1" applyBorder="1" applyAlignment="1">
      <alignment horizontal="right" vertical="top" wrapText="1"/>
    </xf>
    <xf numFmtId="43" fontId="0" fillId="0" borderId="0" xfId="15" applyNumberFormat="1" applyAlignment="1">
      <alignment/>
    </xf>
    <xf numFmtId="43" fontId="0" fillId="0" borderId="9" xfId="15" applyNumberFormat="1" applyBorder="1" applyAlignment="1">
      <alignment/>
    </xf>
    <xf numFmtId="180" fontId="0" fillId="0" borderId="9" xfId="15" applyNumberFormat="1" applyBorder="1" applyAlignment="1">
      <alignment/>
    </xf>
    <xf numFmtId="43" fontId="0" fillId="3" borderId="23" xfId="15" applyNumberFormat="1" applyFont="1" applyFill="1" applyBorder="1" applyAlignment="1">
      <alignment/>
    </xf>
    <xf numFmtId="176" fontId="0" fillId="0" borderId="0" xfId="0" applyNumberFormat="1" applyAlignment="1">
      <alignment horizontal="right"/>
    </xf>
    <xf numFmtId="180" fontId="0" fillId="5" borderId="0" xfId="15" applyNumberFormat="1" applyFill="1" applyAlignment="1" applyProtection="1">
      <alignment/>
      <protection locked="0"/>
    </xf>
    <xf numFmtId="180" fontId="0" fillId="5" borderId="10" xfId="15" applyNumberFormat="1" applyFill="1" applyBorder="1" applyAlignment="1" applyProtection="1">
      <alignment/>
      <protection locked="0"/>
    </xf>
    <xf numFmtId="0" fontId="35" fillId="0" borderId="0" xfId="0" applyFont="1" applyAlignment="1">
      <alignment/>
    </xf>
    <xf numFmtId="180" fontId="0" fillId="0" borderId="0" xfId="0" applyNumberFormat="1" applyAlignment="1">
      <alignment/>
    </xf>
    <xf numFmtId="43" fontId="0" fillId="0" borderId="1" xfId="0" applyNumberFormat="1" applyBorder="1" applyAlignment="1">
      <alignment/>
    </xf>
    <xf numFmtId="201" fontId="0" fillId="0" borderId="0" xfId="0" applyNumberFormat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0" applyNumberFormat="1" applyFill="1" applyBorder="1" applyAlignment="1">
      <alignment/>
    </xf>
    <xf numFmtId="9" fontId="0" fillId="2" borderId="0" xfId="0" applyNumberFormat="1" applyFill="1" applyAlignment="1">
      <alignment horizontal="center"/>
    </xf>
    <xf numFmtId="39" fontId="0" fillId="0" borderId="0" xfId="17" applyNumberFormat="1" applyAlignment="1">
      <alignment/>
    </xf>
    <xf numFmtId="9" fontId="0" fillId="0" borderId="0" xfId="21" applyAlignment="1">
      <alignment horizontal="left"/>
    </xf>
    <xf numFmtId="0" fontId="1" fillId="0" borderId="0" xfId="20" applyBorder="1" applyAlignment="1">
      <alignment horizontal="right"/>
    </xf>
    <xf numFmtId="168" fontId="1" fillId="0" borderId="0" xfId="20" applyNumberFormat="1" applyAlignment="1">
      <alignment/>
    </xf>
    <xf numFmtId="5" fontId="0" fillId="0" borderId="0" xfId="0" applyNumberFormat="1" applyAlignment="1">
      <alignment/>
    </xf>
    <xf numFmtId="0" fontId="37" fillId="0" borderId="0" xfId="0" applyFont="1" applyAlignment="1">
      <alignment/>
    </xf>
    <xf numFmtId="0" fontId="0" fillId="2" borderId="0" xfId="0" applyFont="1" applyFill="1" applyAlignment="1">
      <alignment horizontal="center"/>
    </xf>
    <xf numFmtId="0" fontId="0" fillId="3" borderId="16" xfId="0" applyFill="1" applyBorder="1" applyAlignment="1">
      <alignment/>
    </xf>
    <xf numFmtId="202" fontId="0" fillId="0" borderId="0" xfId="21" applyNumberFormat="1" applyFill="1" applyBorder="1" applyAlignment="1">
      <alignment/>
    </xf>
    <xf numFmtId="3" fontId="0" fillId="3" borderId="16" xfId="0" applyNumberFormat="1" applyFill="1" applyBorder="1" applyAlignment="1">
      <alignment/>
    </xf>
    <xf numFmtId="43" fontId="0" fillId="0" borderId="0" xfId="15" applyAlignment="1">
      <alignment/>
    </xf>
    <xf numFmtId="180" fontId="0" fillId="0" borderId="0" xfId="15" applyNumberFormat="1" applyAlignment="1">
      <alignment/>
    </xf>
    <xf numFmtId="43" fontId="0" fillId="2" borderId="1" xfId="0" applyNumberFormat="1" applyFill="1" applyBorder="1" applyAlignment="1">
      <alignment/>
    </xf>
    <xf numFmtId="9" fontId="0" fillId="0" borderId="0" xfId="21" applyAlignment="1">
      <alignment/>
    </xf>
    <xf numFmtId="43" fontId="9" fillId="0" borderId="0" xfId="15" applyFont="1" applyAlignment="1">
      <alignment/>
    </xf>
    <xf numFmtId="0" fontId="38" fillId="0" borderId="0" xfId="0" applyFon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38" fillId="0" borderId="0" xfId="0" applyNumberFormat="1" applyFont="1" applyAlignment="1">
      <alignment/>
    </xf>
    <xf numFmtId="0" fontId="38" fillId="0" borderId="0" xfId="0" applyFont="1" applyAlignment="1">
      <alignment horizontal="right"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0" fontId="7" fillId="0" borderId="9" xfId="0" applyFont="1" applyBorder="1" applyAlignment="1">
      <alignment/>
    </xf>
    <xf numFmtId="0" fontId="9" fillId="3" borderId="23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>
      <alignment/>
    </xf>
    <xf numFmtId="0" fontId="15" fillId="2" borderId="4" xfId="0" applyFont="1" applyFill="1" applyBorder="1" applyAlignment="1">
      <alignment/>
    </xf>
    <xf numFmtId="0" fontId="7" fillId="2" borderId="30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39" fillId="6" borderId="0" xfId="0" applyFont="1" applyFill="1" applyAlignment="1">
      <alignment/>
    </xf>
    <xf numFmtId="0" fontId="9" fillId="6" borderId="0" xfId="0" applyFont="1" applyFill="1" applyAlignment="1">
      <alignment horizontal="left"/>
    </xf>
    <xf numFmtId="0" fontId="7" fillId="2" borderId="5" xfId="0" applyFont="1" applyFill="1" applyBorder="1" applyAlignment="1">
      <alignment horizontal="center"/>
    </xf>
    <xf numFmtId="0" fontId="1" fillId="0" borderId="0" xfId="20" applyFill="1" applyBorder="1" applyAlignment="1">
      <alignment/>
    </xf>
    <xf numFmtId="203" fontId="0" fillId="0" borderId="0" xfId="0" applyNumberFormat="1" applyAlignment="1">
      <alignment/>
    </xf>
    <xf numFmtId="177" fontId="0" fillId="5" borderId="0" xfId="15" applyNumberFormat="1" applyFill="1" applyAlignment="1" applyProtection="1">
      <alignment/>
      <protection locked="0"/>
    </xf>
    <xf numFmtId="0" fontId="14" fillId="0" borderId="45" xfId="0" applyFont="1" applyBorder="1" applyAlignment="1">
      <alignment horizontal="right"/>
    </xf>
    <xf numFmtId="0" fontId="8" fillId="2" borderId="2" xfId="0" applyFont="1" applyFill="1" applyBorder="1" applyAlignment="1">
      <alignment horizontal="center"/>
    </xf>
    <xf numFmtId="0" fontId="3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48</xdr:row>
      <xdr:rowOff>0</xdr:rowOff>
    </xdr:from>
    <xdr:to>
      <xdr:col>27</xdr:col>
      <xdr:colOff>0</xdr:colOff>
      <xdr:row>115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8124825"/>
          <a:ext cx="14630400" cy="10972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114300</xdr:rowOff>
    </xdr:from>
    <xdr:to>
      <xdr:col>8</xdr:col>
      <xdr:colOff>447675</xdr:colOff>
      <xdr:row>30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1100"/>
          <a:ext cx="5505450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2</xdr:row>
      <xdr:rowOff>0</xdr:rowOff>
    </xdr:from>
    <xdr:ext cx="104775" cy="200025"/>
    <xdr:sp>
      <xdr:nvSpPr>
        <xdr:cNvPr id="1" name="TextBox 1"/>
        <xdr:cNvSpPr txBox="1">
          <a:spLocks noChangeArrowheads="1"/>
        </xdr:cNvSpPr>
      </xdr:nvSpPr>
      <xdr:spPr>
        <a:xfrm>
          <a:off x="742950" y="666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53</xdr:col>
      <xdr:colOff>76200</xdr:colOff>
      <xdr:row>41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2385000" cy="662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jects\Rapid%20Transport\Interstate%20Traveler%20Financial%20Calculations%2010-23-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jects\rapid%20Transport\Interstate%20Traveler%20Financial%20Calculations%2010-23-02%20AnnArb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ork\Projects\Rapid%20Transport\ITC-PlanteMoran%2011-15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Image01"/>
      <sheetName val="Image02"/>
      <sheetName val="Image03"/>
      <sheetName val="Image04"/>
      <sheetName val="Costs per kilometer"/>
      <sheetName val="SampleCalc"/>
      <sheetName val="Return On Investment"/>
      <sheetName val="DailyMonthlyPass"/>
      <sheetName val="Startup Infrastructure Costs"/>
      <sheetName val="Payroll"/>
      <sheetName val="SolarCells"/>
      <sheetName val="Energy Use Calculator"/>
      <sheetName val="Hyrdrogen Production"/>
      <sheetName val="Steel and Concrete"/>
      <sheetName val="BridgeCluster"/>
      <sheetName val="Insurance"/>
      <sheetName val="TimeLine"/>
      <sheetName val="Rail Cost per K Chart"/>
      <sheetName val="Total Cost Chart"/>
      <sheetName val="Routes"/>
      <sheetName val="Addressing"/>
      <sheetName val="Lease Purchase"/>
      <sheetName val="Townships"/>
      <sheetName val="Michigan Assoc Regions"/>
      <sheetName val="The Names2"/>
      <sheetName val="Palets"/>
      <sheetName val="Telemarketing"/>
      <sheetName val="Time Line"/>
      <sheetName val="Stock Capitalization"/>
      <sheetName val="Advisory Board"/>
    </sheetNames>
    <sheetDataSet>
      <sheetData sheetId="26">
        <row r="6">
          <cell r="F6">
            <v>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Image01"/>
      <sheetName val="Image02"/>
      <sheetName val="Image03"/>
      <sheetName val="Image04"/>
      <sheetName val="Costs per kilometer"/>
      <sheetName val="Return On Investment"/>
      <sheetName val="Townships"/>
      <sheetName val="Costs Ann Arbor Loop"/>
      <sheetName val="Ann Arbor ROI"/>
      <sheetName val="Startup Infrastructure Costs"/>
      <sheetName val="Payroll"/>
      <sheetName val="SolarCells"/>
      <sheetName val="Hyrdrogen Production"/>
      <sheetName val="Steel and Concrete"/>
      <sheetName val="Insurance"/>
      <sheetName val="ProductionTimeLine"/>
      <sheetName val="Rail Cost per K Chart"/>
      <sheetName val="Total Cost Chart"/>
      <sheetName val="Routes"/>
      <sheetName val="Addressing"/>
      <sheetName val="Lease Purchase"/>
      <sheetName val="Michigan Assoc Regions"/>
      <sheetName val="The Names2"/>
      <sheetName val="BridgeCluster"/>
      <sheetName val="Pallets"/>
      <sheetName val="Pallets 2"/>
      <sheetName val="Stock Capitalization"/>
      <sheetName val="Advisory Board"/>
    </sheetNames>
    <sheetDataSet>
      <sheetData sheetId="25">
        <row r="6">
          <cell r="F6">
            <v>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proforma inc stmt"/>
      <sheetName val="Costs per kilometer"/>
      <sheetName val="Return On Investment"/>
      <sheetName val="Townships"/>
      <sheetName val="Costs Ann Arbor Loop"/>
      <sheetName val="Ann Arbor ROI"/>
      <sheetName val="Startup Infrastructure Costs"/>
      <sheetName val="Payroll"/>
      <sheetName val="SolarCells"/>
      <sheetName val="Hyrdrogen Production"/>
      <sheetName val="Steel and Concrete"/>
      <sheetName val="Insurance"/>
      <sheetName val="ProductionTimeLine"/>
      <sheetName val="Rail Cost per K Chart"/>
      <sheetName val="Total Cost Chart"/>
      <sheetName val="Routes"/>
      <sheetName val="Addressing"/>
      <sheetName val="Lease Purchase"/>
      <sheetName val="Michigan Assoc Regions"/>
      <sheetName val="The Names2"/>
      <sheetName val="BridgeCluster"/>
      <sheetName val="Pallets"/>
      <sheetName val="Pallets 2"/>
      <sheetName val="Stock Capitalization"/>
      <sheetName val="Advisory Board"/>
    </sheetNames>
    <sheetDataSet>
      <sheetData sheetId="2">
        <row r="52">
          <cell r="F52">
            <v>3026000.3554311027</v>
          </cell>
        </row>
      </sheetData>
      <sheetData sheetId="3">
        <row r="16">
          <cell r="C16">
            <v>180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rstatetraveler.us/" TargetMode="External" /><Relationship Id="rId2" Type="http://schemas.openxmlformats.org/officeDocument/2006/relationships/hyperlink" Target="mailto:Justin@InterstateTraveler.u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time.com/time/business/article/0,8599,185650,00.html" TargetMode="Externa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stuartenergy.com/hydrogen/techreview.asp" TargetMode="External" /><Relationship Id="rId2" Type="http://schemas.openxmlformats.org/officeDocument/2006/relationships/hyperlink" Target="http://www.fuelcellstore.com/cgi-bin/fuelweb/view=item/cat=23/subcat=26/product=181" TargetMode="External" /><Relationship Id="rId3" Type="http://schemas.openxmlformats.org/officeDocument/2006/relationships/hyperlink" Target="http://www.stuartenergy.com/technology/tech_platforms.html" TargetMode="External" /><Relationship Id="rId4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pvsolarmodules.com/kyocera.html" TargetMode="Externa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46"/>
  <sheetViews>
    <sheetView tabSelected="1" zoomScale="75" zoomScaleNormal="75" workbookViewId="0" topLeftCell="A3">
      <selection activeCell="J14" sqref="J14"/>
    </sheetView>
  </sheetViews>
  <sheetFormatPr defaultColWidth="9.140625" defaultRowHeight="12.75"/>
  <cols>
    <col min="2" max="2" width="11.8515625" style="0" bestFit="1" customWidth="1"/>
  </cols>
  <sheetData>
    <row r="5" ht="33">
      <c r="E5" s="2" t="s">
        <v>0</v>
      </c>
    </row>
    <row r="18" ht="12.75">
      <c r="F18" t="s">
        <v>1</v>
      </c>
    </row>
    <row r="28" spans="2:7" ht="20.25">
      <c r="B28" s="3" t="s">
        <v>2</v>
      </c>
      <c r="C28" s="3"/>
      <c r="D28" s="3"/>
      <c r="E28" s="3"/>
      <c r="F28" s="3"/>
      <c r="G28" s="3"/>
    </row>
    <row r="29" ht="12.75">
      <c r="B29" t="s">
        <v>3</v>
      </c>
    </row>
    <row r="32" spans="2:5" ht="12.75">
      <c r="B32" s="4" t="s">
        <v>0</v>
      </c>
      <c r="C32" s="4"/>
      <c r="D32" s="4"/>
      <c r="E32" s="4"/>
    </row>
    <row r="33" spans="2:6" ht="12.75">
      <c r="B33" s="5" t="s">
        <v>179</v>
      </c>
      <c r="C33" s="5"/>
      <c r="D33" s="5"/>
      <c r="E33" s="5"/>
      <c r="F33" s="5"/>
    </row>
    <row r="34" spans="2:3" ht="12.75">
      <c r="B34" s="4" t="s">
        <v>4</v>
      </c>
      <c r="C34" s="4"/>
    </row>
    <row r="35" spans="2:7" ht="12.75">
      <c r="B35" s="4" t="s">
        <v>5</v>
      </c>
      <c r="C35" s="4"/>
      <c r="D35" s="4"/>
      <c r="G35" t="s">
        <v>6</v>
      </c>
    </row>
    <row r="36" spans="2:4" ht="12.75">
      <c r="B36" s="4" t="s">
        <v>7</v>
      </c>
      <c r="C36" s="4"/>
      <c r="D36" s="4"/>
    </row>
    <row r="37" spans="2:4" ht="12.75">
      <c r="B37" s="4" t="s">
        <v>8</v>
      </c>
      <c r="C37" s="4"/>
      <c r="D37" s="4"/>
    </row>
    <row r="38" spans="2:4" ht="12.75">
      <c r="B38" s="5"/>
      <c r="C38" s="5"/>
      <c r="D38" s="5"/>
    </row>
    <row r="39" ht="12.75">
      <c r="B39" s="289" t="s">
        <v>847</v>
      </c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4" ht="12.75">
      <c r="B45" s="100"/>
      <c r="C45" s="4"/>
      <c r="D45" s="4"/>
    </row>
    <row r="46" ht="12.75">
      <c r="B46" s="4"/>
    </row>
  </sheetData>
  <sheetProtection/>
  <hyperlinks>
    <hyperlink ref="B33" r:id="rId1" display="www.InterstateTraveler.us "/>
    <hyperlink ref="B39" r:id="rId2" display="Justin@InterstateTraveler.us "/>
  </hyperlinks>
  <printOptions/>
  <pageMargins left="0.75" right="0.75" top="1" bottom="1" header="0.5" footer="0.5"/>
  <pageSetup horizontalDpi="600" verticalDpi="600" orientation="portrait" r:id="rId4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workbookViewId="0" topLeftCell="A1">
      <selection activeCell="A1" sqref="A1"/>
    </sheetView>
  </sheetViews>
  <sheetFormatPr defaultColWidth="9.140625" defaultRowHeight="12.75"/>
  <cols>
    <col min="1" max="1" width="12.28125" style="0" customWidth="1"/>
    <col min="2" max="2" width="15.00390625" style="0" bestFit="1" customWidth="1"/>
    <col min="3" max="3" width="41.140625" style="0" customWidth="1"/>
    <col min="4" max="4" width="14.00390625" style="0" customWidth="1"/>
    <col min="5" max="5" width="15.421875" style="0" customWidth="1"/>
    <col min="6" max="6" width="27.57421875" style="0" customWidth="1"/>
    <col min="7" max="7" width="13.57421875" style="0" customWidth="1"/>
    <col min="8" max="8" width="15.421875" style="0" customWidth="1"/>
    <col min="10" max="10" width="15.00390625" style="0" bestFit="1" customWidth="1"/>
    <col min="11" max="11" width="18.7109375" style="0" bestFit="1" customWidth="1"/>
  </cols>
  <sheetData>
    <row r="1" spans="1:3" ht="25.5">
      <c r="A1" s="29" t="s">
        <v>158</v>
      </c>
      <c r="B1" s="29"/>
      <c r="C1" s="29"/>
    </row>
    <row r="2" spans="3:5" ht="18.75" customHeight="1">
      <c r="C2" s="41" t="s">
        <v>132</v>
      </c>
      <c r="D2" s="29"/>
      <c r="E2" s="29"/>
    </row>
    <row r="3" spans="3:4" ht="12.75">
      <c r="C3" s="30" t="s">
        <v>28</v>
      </c>
      <c r="D3" s="30" t="s">
        <v>29</v>
      </c>
    </row>
    <row r="4" spans="3:4" ht="12.75">
      <c r="C4" t="s">
        <v>30</v>
      </c>
      <c r="D4">
        <v>5280</v>
      </c>
    </row>
    <row r="5" spans="3:5" ht="12.75">
      <c r="C5" t="s">
        <v>31</v>
      </c>
      <c r="D5">
        <v>3278</v>
      </c>
      <c r="E5" t="s">
        <v>32</v>
      </c>
    </row>
    <row r="6" spans="3:4" ht="12.75">
      <c r="C6" t="s">
        <v>33</v>
      </c>
      <c r="D6" s="31">
        <f>SUM(D5/D4)</f>
        <v>0.6208333333333333</v>
      </c>
    </row>
    <row r="9" spans="2:3" ht="16.5" customHeight="1" thickBot="1">
      <c r="B9" s="29"/>
      <c r="C9" s="29"/>
    </row>
    <row r="10" spans="1:6" ht="13.5" thickBot="1">
      <c r="A10" s="32" t="s">
        <v>34</v>
      </c>
      <c r="B10" s="33" t="s">
        <v>35</v>
      </c>
      <c r="C10" s="33" t="s">
        <v>36</v>
      </c>
      <c r="D10" s="33" t="s">
        <v>37</v>
      </c>
      <c r="E10" s="33" t="s">
        <v>38</v>
      </c>
      <c r="F10" s="34" t="s">
        <v>39</v>
      </c>
    </row>
    <row r="11" spans="1:6" ht="12.75">
      <c r="A11">
        <v>3278</v>
      </c>
      <c r="B11" s="12" t="s">
        <v>40</v>
      </c>
      <c r="C11" t="s">
        <v>135</v>
      </c>
      <c r="D11" s="27">
        <v>26.9</v>
      </c>
      <c r="E11" s="27">
        <f>SUM(D11*A11)</f>
        <v>88178.2</v>
      </c>
      <c r="F11" t="s">
        <v>41</v>
      </c>
    </row>
    <row r="12" spans="1:6" ht="12.75">
      <c r="A12">
        <v>4</v>
      </c>
      <c r="B12" s="12" t="s">
        <v>134</v>
      </c>
      <c r="C12" t="s">
        <v>197</v>
      </c>
      <c r="D12" s="27">
        <f>SUM(E11)</f>
        <v>88178.2</v>
      </c>
      <c r="E12" s="27">
        <f>SUM(D12*A12)</f>
        <v>352712.8</v>
      </c>
      <c r="F12" t="s">
        <v>42</v>
      </c>
    </row>
    <row r="13" spans="1:6" ht="12.75">
      <c r="A13" s="82">
        <f>SUM(A11*4)</f>
        <v>13112</v>
      </c>
      <c r="B13" s="107" t="s">
        <v>40</v>
      </c>
      <c r="C13" s="82" t="s">
        <v>528</v>
      </c>
      <c r="D13" s="108">
        <v>60</v>
      </c>
      <c r="E13" s="108">
        <f>SUM(D13*A13)</f>
        <v>786720</v>
      </c>
      <c r="F13" s="82" t="s">
        <v>369</v>
      </c>
    </row>
    <row r="14" spans="1:6" ht="13.5" thickBot="1">
      <c r="A14" s="35">
        <f>SUM(D23*2)</f>
        <v>109.26666666666667</v>
      </c>
      <c r="B14" s="36" t="s">
        <v>43</v>
      </c>
      <c r="C14" s="35" t="s">
        <v>181</v>
      </c>
      <c r="D14" s="37">
        <v>1800</v>
      </c>
      <c r="E14" s="37">
        <f>SUM(D14*A14)</f>
        <v>196680</v>
      </c>
      <c r="F14" s="35" t="s">
        <v>370</v>
      </c>
    </row>
    <row r="15" spans="4:6" ht="12.75">
      <c r="D15" s="27"/>
      <c r="E15" s="27">
        <f>SUM(E12:E14)</f>
        <v>1336112.8</v>
      </c>
      <c r="F15" t="s">
        <v>44</v>
      </c>
    </row>
    <row r="16" ht="12.75">
      <c r="A16" s="15" t="s">
        <v>133</v>
      </c>
    </row>
    <row r="17" ht="13.5" thickBot="1"/>
    <row r="18" spans="3:4" ht="13.5" thickBot="1">
      <c r="C18" s="33" t="s">
        <v>366</v>
      </c>
      <c r="D18" s="33"/>
    </row>
    <row r="19" spans="3:4" ht="12.75">
      <c r="C19" t="s">
        <v>367</v>
      </c>
      <c r="D19" s="144">
        <v>60</v>
      </c>
    </row>
    <row r="20" spans="3:4" ht="12.75">
      <c r="C20" t="s">
        <v>136</v>
      </c>
      <c r="D20" s="27">
        <f>SUM(E15/D5)</f>
        <v>407.6</v>
      </c>
    </row>
    <row r="21" spans="3:4" ht="12.75">
      <c r="C21" t="s">
        <v>368</v>
      </c>
      <c r="D21" s="27">
        <f>SUM(D20*D19)</f>
        <v>24456</v>
      </c>
    </row>
    <row r="22" ht="13.5" thickBot="1">
      <c r="E22" s="82"/>
    </row>
    <row r="23" spans="3:5" ht="13.5" thickBot="1">
      <c r="C23" s="33" t="s">
        <v>142</v>
      </c>
      <c r="D23" s="133">
        <f>SUM(D5/D19)</f>
        <v>54.63333333333333</v>
      </c>
      <c r="E23" s="82"/>
    </row>
    <row r="24" spans="3:5" ht="12.75">
      <c r="C24" t="s">
        <v>143</v>
      </c>
      <c r="E24" s="82"/>
    </row>
    <row r="25" ht="12.75">
      <c r="C25" t="s">
        <v>144</v>
      </c>
    </row>
    <row r="26" spans="3:4" ht="12.75">
      <c r="C26" t="s">
        <v>174</v>
      </c>
      <c r="D26" s="145">
        <v>80</v>
      </c>
    </row>
    <row r="27" spans="3:4" ht="12.75">
      <c r="C27" t="s">
        <v>371</v>
      </c>
      <c r="D27" s="144">
        <v>4</v>
      </c>
    </row>
    <row r="28" spans="3:4" ht="12.75">
      <c r="C28" t="s">
        <v>175</v>
      </c>
      <c r="D28" s="80">
        <f>SUM(D26*D27)</f>
        <v>320</v>
      </c>
    </row>
    <row r="29" spans="3:4" ht="12.75">
      <c r="C29" t="s">
        <v>145</v>
      </c>
      <c r="D29" s="64">
        <f>SUM(D28*D23)</f>
        <v>17482.666666666668</v>
      </c>
    </row>
    <row r="30" spans="3:4" ht="12.75">
      <c r="C30" t="s">
        <v>176</v>
      </c>
      <c r="D30" s="27">
        <f>SUM(D26*(3278/3))</f>
        <v>87413.33333333334</v>
      </c>
    </row>
    <row r="31" spans="3:4" ht="12.75">
      <c r="C31" t="s">
        <v>173</v>
      </c>
      <c r="D31" s="27">
        <f>SUM(D26*(5280/3))</f>
        <v>140800</v>
      </c>
    </row>
    <row r="32" ht="13.5" thickBot="1"/>
    <row r="33" spans="3:11" ht="13.5" thickBot="1">
      <c r="C33" s="33" t="s">
        <v>594</v>
      </c>
      <c r="D33" s="33" t="s">
        <v>595</v>
      </c>
      <c r="E33" s="33" t="s">
        <v>596</v>
      </c>
      <c r="F33" s="33" t="s">
        <v>597</v>
      </c>
      <c r="G33" s="33" t="s">
        <v>598</v>
      </c>
      <c r="H33" s="33" t="s">
        <v>599</v>
      </c>
      <c r="I33" s="147" t="s">
        <v>256</v>
      </c>
      <c r="J33" s="147" t="s">
        <v>600</v>
      </c>
      <c r="K33" s="147" t="s">
        <v>601</v>
      </c>
    </row>
    <row r="34" spans="3:11" ht="12.75">
      <c r="C34" s="145">
        <v>800</v>
      </c>
      <c r="D34">
        <v>30</v>
      </c>
      <c r="E34" s="255">
        <f>SUM(5280/60*D34)</f>
        <v>2640</v>
      </c>
      <c r="F34" s="80">
        <f>SUM(D34*C34)</f>
        <v>24000</v>
      </c>
      <c r="G34" s="80">
        <f>SUM(5280/60*F34)</f>
        <v>2112000</v>
      </c>
      <c r="H34" s="80">
        <f>SUM(3278/60*F34)</f>
        <v>1311200</v>
      </c>
      <c r="I34">
        <f>'Costs per kilometer'!$A$54</f>
        <v>179.999955</v>
      </c>
      <c r="J34" s="230">
        <f>SUM(I34*E34)</f>
        <v>475199.8812</v>
      </c>
      <c r="K34" s="259">
        <f>SUM(J34*C34)</f>
        <v>380159904.96</v>
      </c>
    </row>
    <row r="35" spans="3:11" ht="12.75">
      <c r="C35" s="145">
        <v>1000</v>
      </c>
      <c r="D35">
        <v>30</v>
      </c>
      <c r="E35" s="255">
        <f>SUM(5280/60*D35)</f>
        <v>2640</v>
      </c>
      <c r="F35" s="80">
        <f>SUM(D35*C35)</f>
        <v>30000</v>
      </c>
      <c r="G35" s="80">
        <f>SUM(5280/60*F35)</f>
        <v>2640000</v>
      </c>
      <c r="H35" s="80">
        <f>SUM(3278/60*F35)</f>
        <v>1639000</v>
      </c>
      <c r="I35">
        <f>'Costs per kilometer'!$A$54</f>
        <v>179.999955</v>
      </c>
      <c r="J35" s="230">
        <f>SUM(I35*E35)</f>
        <v>475199.8812</v>
      </c>
      <c r="K35" s="259">
        <f>SUM(J35*C35)</f>
        <v>475199881.2</v>
      </c>
    </row>
    <row r="36" spans="3:11" ht="12.75">
      <c r="C36" s="145">
        <v>800</v>
      </c>
      <c r="D36">
        <v>30</v>
      </c>
      <c r="E36" s="255">
        <f>SUM(5280/60*D36)</f>
        <v>2640</v>
      </c>
      <c r="F36" s="80">
        <f>SUM(D36*C36)</f>
        <v>24000</v>
      </c>
      <c r="G36" s="80">
        <f>SUM(5280/60*F36)</f>
        <v>2112000</v>
      </c>
      <c r="H36" s="80">
        <f>SUM(3278/60*F36)</f>
        <v>1311200</v>
      </c>
      <c r="I36">
        <f>'Costs per kilometer'!$A$54</f>
        <v>179.999955</v>
      </c>
      <c r="J36" s="230">
        <f>SUM(I36*E36)</f>
        <v>475199.8812</v>
      </c>
      <c r="K36" s="259">
        <f>SUM(J36*C36)</f>
        <v>380159904.96</v>
      </c>
    </row>
  </sheetData>
  <sheetProtection/>
  <hyperlinks>
    <hyperlink ref="A16" r:id="rId1" display="http://www.time.com/time/business/article/0,8599,185650,00.html "/>
  </hyperlinks>
  <printOptions/>
  <pageMargins left="0.75" right="0.75" top="1" bottom="1" header="0.5" footer="0.5"/>
  <pageSetup fitToHeight="1" fitToWidth="1" horizontalDpi="600" verticalDpi="600" orientation="landscape" scale="62" r:id="rId2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ignoredErrors>
    <ignoredError sqref="F34:F3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5:G29"/>
  <sheetViews>
    <sheetView workbookViewId="0" topLeftCell="A8">
      <selection activeCell="D26" sqref="D26"/>
    </sheetView>
  </sheetViews>
  <sheetFormatPr defaultColWidth="9.140625" defaultRowHeight="12.75"/>
  <cols>
    <col min="2" max="2" width="14.7109375" style="0" customWidth="1"/>
    <col min="3" max="3" width="31.00390625" style="0" customWidth="1"/>
    <col min="4" max="5" width="15.28125" style="0" customWidth="1"/>
    <col min="6" max="6" width="21.140625" style="0" customWidth="1"/>
    <col min="7" max="7" width="18.28125" style="0" customWidth="1"/>
  </cols>
  <sheetData>
    <row r="5" ht="15.75">
      <c r="A5" s="203" t="s">
        <v>341</v>
      </c>
    </row>
    <row r="6" spans="1:7" ht="12.75">
      <c r="A6" s="30" t="s">
        <v>35</v>
      </c>
      <c r="B6" s="30"/>
      <c r="C6" s="30" t="s">
        <v>342</v>
      </c>
      <c r="D6" s="30" t="s">
        <v>351</v>
      </c>
      <c r="E6" s="30" t="s">
        <v>354</v>
      </c>
      <c r="F6" s="30" t="s">
        <v>352</v>
      </c>
      <c r="G6" s="30" t="s">
        <v>353</v>
      </c>
    </row>
    <row r="7" spans="1:7" ht="12.75">
      <c r="A7" s="181">
        <f>'Costs per kilometer'!$A$53</f>
        <v>289.855</v>
      </c>
      <c r="B7" t="s">
        <v>46</v>
      </c>
      <c r="C7" s="181" t="s">
        <v>343</v>
      </c>
      <c r="D7" s="186">
        <v>4000</v>
      </c>
      <c r="E7" s="140">
        <f>SUM(F7/30)</f>
        <v>38647.333333333336</v>
      </c>
      <c r="F7" s="151">
        <f aca="true" t="shared" si="0" ref="F7:F15">SUM(D7*A7)</f>
        <v>1159420</v>
      </c>
      <c r="G7" s="27">
        <f>SUM(F7*12)</f>
        <v>13913040</v>
      </c>
    </row>
    <row r="8" spans="1:7" ht="12.75">
      <c r="A8" s="181">
        <f>'Costs per kilometer'!$A$41</f>
        <v>0</v>
      </c>
      <c r="B8" t="s">
        <v>59</v>
      </c>
      <c r="C8" t="s">
        <v>60</v>
      </c>
      <c r="D8" s="183">
        <v>1500000</v>
      </c>
      <c r="E8" s="140">
        <f aca="true" t="shared" si="1" ref="E8:E15">SUM(F8/30)</f>
        <v>0</v>
      </c>
      <c r="F8" s="151">
        <f t="shared" si="0"/>
        <v>0</v>
      </c>
      <c r="G8" s="27">
        <f aca="true" t="shared" si="2" ref="G8:G15">SUM(F8*12)</f>
        <v>0</v>
      </c>
    </row>
    <row r="9" spans="1:7" ht="12.75">
      <c r="A9" s="181">
        <f>'Costs per kilometer'!$A$42</f>
        <v>60</v>
      </c>
      <c r="B9" t="s">
        <v>59</v>
      </c>
      <c r="C9" t="s">
        <v>347</v>
      </c>
      <c r="D9" s="183">
        <v>800000</v>
      </c>
      <c r="E9" s="140">
        <f t="shared" si="1"/>
        <v>1600000</v>
      </c>
      <c r="F9" s="151">
        <f t="shared" si="0"/>
        <v>48000000</v>
      </c>
      <c r="G9" s="27">
        <f t="shared" si="2"/>
        <v>576000000</v>
      </c>
    </row>
    <row r="10" spans="1:7" ht="12.75">
      <c r="A10" s="201">
        <f>SUM(A7/4)</f>
        <v>72.46375</v>
      </c>
      <c r="B10" t="s">
        <v>59</v>
      </c>
      <c r="C10" t="s">
        <v>348</v>
      </c>
      <c r="D10" s="183">
        <v>8000</v>
      </c>
      <c r="E10" s="140">
        <f t="shared" si="1"/>
        <v>19323.666666666668</v>
      </c>
      <c r="F10" s="151">
        <f t="shared" si="0"/>
        <v>579710</v>
      </c>
      <c r="G10" s="27">
        <f t="shared" si="2"/>
        <v>6956520</v>
      </c>
    </row>
    <row r="11" spans="1:7" ht="12.75">
      <c r="A11" s="181">
        <f>'Costs per kilometer'!$A$44</f>
        <v>60</v>
      </c>
      <c r="B11" t="s">
        <v>59</v>
      </c>
      <c r="C11" t="s">
        <v>349</v>
      </c>
      <c r="D11" s="183">
        <v>400000</v>
      </c>
      <c r="E11" s="140">
        <f t="shared" si="1"/>
        <v>800000</v>
      </c>
      <c r="F11" s="151">
        <f t="shared" si="0"/>
        <v>24000000</v>
      </c>
      <c r="G11" s="27">
        <f t="shared" si="2"/>
        <v>288000000</v>
      </c>
    </row>
    <row r="12" spans="1:7" ht="12.75">
      <c r="A12" s="181">
        <f>'Costs per kilometer'!$A$45</f>
        <v>0</v>
      </c>
      <c r="B12" t="s">
        <v>59</v>
      </c>
      <c r="C12" t="s">
        <v>350</v>
      </c>
      <c r="D12" s="183">
        <v>8000</v>
      </c>
      <c r="E12" s="140">
        <f t="shared" si="1"/>
        <v>0</v>
      </c>
      <c r="F12" s="151">
        <f t="shared" si="0"/>
        <v>0</v>
      </c>
      <c r="G12" s="27">
        <f t="shared" si="2"/>
        <v>0</v>
      </c>
    </row>
    <row r="13" spans="1:7" ht="12.75">
      <c r="A13" s="181">
        <f>'Costs per kilometer'!$A$46</f>
        <v>0</v>
      </c>
      <c r="B13" t="s">
        <v>59</v>
      </c>
      <c r="C13" t="s">
        <v>344</v>
      </c>
      <c r="D13" s="183">
        <v>250000</v>
      </c>
      <c r="E13" s="140">
        <f t="shared" si="1"/>
        <v>0</v>
      </c>
      <c r="F13" s="151">
        <f t="shared" si="0"/>
        <v>0</v>
      </c>
      <c r="G13" s="27">
        <f t="shared" si="2"/>
        <v>0</v>
      </c>
    </row>
    <row r="14" spans="1:7" ht="12.75">
      <c r="A14" s="181">
        <f>'Costs per kilometer'!$A$47</f>
        <v>350</v>
      </c>
      <c r="B14" t="s">
        <v>59</v>
      </c>
      <c r="C14" t="s">
        <v>345</v>
      </c>
      <c r="D14" s="183">
        <v>40000</v>
      </c>
      <c r="E14" s="140">
        <f t="shared" si="1"/>
        <v>466666.6666666667</v>
      </c>
      <c r="F14" s="151">
        <f t="shared" si="0"/>
        <v>14000000</v>
      </c>
      <c r="G14" s="27">
        <f t="shared" si="2"/>
        <v>168000000</v>
      </c>
    </row>
    <row r="15" spans="1:7" ht="13.5" thickBot="1">
      <c r="A15" s="202">
        <f>'Costs per kilometer'!$A$49</f>
        <v>100</v>
      </c>
      <c r="B15" s="39" t="s">
        <v>59</v>
      </c>
      <c r="C15" s="39" t="s">
        <v>346</v>
      </c>
      <c r="D15" s="184">
        <v>20000</v>
      </c>
      <c r="E15" s="40">
        <f t="shared" si="1"/>
        <v>66666.66666666667</v>
      </c>
      <c r="F15" s="185">
        <f t="shared" si="0"/>
        <v>2000000</v>
      </c>
      <c r="G15" s="40">
        <f t="shared" si="2"/>
        <v>24000000</v>
      </c>
    </row>
    <row r="16" spans="1:7" ht="13.5" thickTop="1">
      <c r="A16">
        <f>SUM(A7/1.609)</f>
        <v>180.14605344934742</v>
      </c>
      <c r="B16" s="182" t="s">
        <v>256</v>
      </c>
      <c r="D16" s="27">
        <f>SUM(D7:D15)</f>
        <v>3030000</v>
      </c>
      <c r="E16" s="27">
        <f>SUM(E7:E15)</f>
        <v>2991304.333333333</v>
      </c>
      <c r="F16" s="27">
        <f>SUM(F7:F15)</f>
        <v>89739130</v>
      </c>
      <c r="G16" s="27">
        <f>SUM(G7:G15)</f>
        <v>1076869560</v>
      </c>
    </row>
    <row r="17" spans="5:7" ht="12.75">
      <c r="E17" s="12" t="s">
        <v>357</v>
      </c>
      <c r="F17" s="12" t="s">
        <v>356</v>
      </c>
      <c r="G17" s="12" t="s">
        <v>355</v>
      </c>
    </row>
    <row r="18" spans="4:7" ht="12.75">
      <c r="D18" s="52" t="s">
        <v>358</v>
      </c>
      <c r="E18" s="27">
        <f>SUM(E16/A16)</f>
        <v>16604.884070771015</v>
      </c>
      <c r="F18" s="27">
        <f>SUM(F16/A16)</f>
        <v>498146.5221231305</v>
      </c>
      <c r="G18" s="27">
        <f>SUM(G16/A16)</f>
        <v>5977758.265477566</v>
      </c>
    </row>
    <row r="22" ht="15.75">
      <c r="A22" s="203" t="s">
        <v>375</v>
      </c>
    </row>
    <row r="23" spans="1:7" ht="12.75">
      <c r="A23" s="30" t="s">
        <v>35</v>
      </c>
      <c r="B23" s="30"/>
      <c r="C23" s="30" t="s">
        <v>342</v>
      </c>
      <c r="D23" s="30" t="s">
        <v>351</v>
      </c>
      <c r="E23" s="30" t="s">
        <v>354</v>
      </c>
      <c r="F23" s="30" t="s">
        <v>352</v>
      </c>
      <c r="G23" s="30" t="s">
        <v>353</v>
      </c>
    </row>
    <row r="24" spans="1:7" ht="12.75">
      <c r="A24" s="181">
        <f>'Costs per kilometer'!$A$41</f>
        <v>0</v>
      </c>
      <c r="B24" t="s">
        <v>59</v>
      </c>
      <c r="C24" t="s">
        <v>60</v>
      </c>
      <c r="D24" s="183">
        <v>60000</v>
      </c>
      <c r="E24" s="140">
        <f>SUM(F24/30)</f>
        <v>0</v>
      </c>
      <c r="F24" s="151">
        <f>SUM(D24*A24)</f>
        <v>0</v>
      </c>
      <c r="G24" s="27">
        <f>SUM(F24*12)</f>
        <v>0</v>
      </c>
    </row>
    <row r="25" spans="1:7" ht="12.75">
      <c r="A25" s="181">
        <f>A11</f>
        <v>60</v>
      </c>
      <c r="B25" t="str">
        <f>B11</f>
        <v>Each</v>
      </c>
      <c r="C25" t="str">
        <f>C11</f>
        <v>Car Ramps</v>
      </c>
      <c r="D25" s="183">
        <v>20000</v>
      </c>
      <c r="E25" s="140">
        <f>SUM(F25/30)</f>
        <v>40000</v>
      </c>
      <c r="F25" s="151">
        <f>SUM(D25*A25)</f>
        <v>1200000</v>
      </c>
      <c r="G25" s="27">
        <f>SUM(F25*12)</f>
        <v>14400000</v>
      </c>
    </row>
    <row r="26" spans="1:7" ht="13.5" thickBot="1">
      <c r="A26" s="202">
        <f>'Costs per kilometer'!$A$42</f>
        <v>60</v>
      </c>
      <c r="B26" s="39" t="s">
        <v>59</v>
      </c>
      <c r="C26" s="39" t="s">
        <v>347</v>
      </c>
      <c r="D26" s="184">
        <v>12000</v>
      </c>
      <c r="E26" s="204">
        <f>SUM(F26/30)</f>
        <v>24000</v>
      </c>
      <c r="F26" s="185">
        <f>SUM(D26*A26)</f>
        <v>720000</v>
      </c>
      <c r="G26" s="40">
        <f>SUM(F26*12)</f>
        <v>8640000</v>
      </c>
    </row>
    <row r="27" spans="1:7" ht="13.5" thickTop="1">
      <c r="A27" s="181"/>
      <c r="D27" s="27">
        <f>SUM(D24:D26)</f>
        <v>92000</v>
      </c>
      <c r="E27" s="140">
        <f>SUM(E24:E26)</f>
        <v>64000</v>
      </c>
      <c r="F27" s="151">
        <f>SUM(F24:F26)</f>
        <v>1920000</v>
      </c>
      <c r="G27" s="27">
        <f>SUM(G24:G26)</f>
        <v>23040000</v>
      </c>
    </row>
    <row r="29" spans="4:7" ht="12.75">
      <c r="D29" s="52" t="s">
        <v>358</v>
      </c>
      <c r="E29" s="27">
        <f>SUM(E27/$A$16)</f>
        <v>355.2672888168222</v>
      </c>
      <c r="F29" s="27">
        <f>SUM(F27/$A$16)</f>
        <v>10658.018664504667</v>
      </c>
      <c r="G29" s="27">
        <f>SUM(G27/$A$16)</f>
        <v>127896.22397405599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5">
      <selection activeCell="C28" sqref="C28"/>
    </sheetView>
  </sheetViews>
  <sheetFormatPr defaultColWidth="9.140625" defaultRowHeight="12.75"/>
  <cols>
    <col min="1" max="1" width="16.57421875" style="0" customWidth="1"/>
    <col min="3" max="3" width="20.7109375" style="0" customWidth="1"/>
  </cols>
  <sheetData>
    <row r="1" ht="16.5" customHeight="1">
      <c r="A1" t="s">
        <v>428</v>
      </c>
    </row>
    <row r="2" spans="1:6" ht="16.5" customHeight="1">
      <c r="A2" s="11" t="s">
        <v>429</v>
      </c>
      <c r="B2" s="11"/>
      <c r="C2" s="11"/>
      <c r="D2" s="11"/>
      <c r="E2" s="11"/>
      <c r="F2" s="11"/>
    </row>
    <row r="3" spans="1:3" ht="12.75">
      <c r="A3" t="s">
        <v>430</v>
      </c>
      <c r="C3">
        <v>15300</v>
      </c>
    </row>
    <row r="4" spans="1:3" ht="12.75">
      <c r="A4" t="s">
        <v>431</v>
      </c>
      <c r="C4" s="175">
        <v>0.8</v>
      </c>
    </row>
    <row r="5" spans="1:4" ht="12.75">
      <c r="A5" t="s">
        <v>432</v>
      </c>
      <c r="C5">
        <f>SUM(C3)</f>
        <v>15300</v>
      </c>
      <c r="D5" t="s">
        <v>433</v>
      </c>
    </row>
    <row r="6" spans="1:3" ht="12.75">
      <c r="A6" t="s">
        <v>434</v>
      </c>
      <c r="C6" s="230">
        <f>SolarCells!$E$17</f>
        <v>121618520.32000001</v>
      </c>
    </row>
    <row r="7" spans="1:4" ht="12.75">
      <c r="A7" t="s">
        <v>435</v>
      </c>
      <c r="C7" s="148">
        <f>SUM(C6/C5)</f>
        <v>7948.922896732027</v>
      </c>
      <c r="D7" t="s">
        <v>436</v>
      </c>
    </row>
    <row r="8" spans="1:3" ht="12.75">
      <c r="A8" t="s">
        <v>437</v>
      </c>
      <c r="C8" s="148">
        <f>SUM(C7*C4)</f>
        <v>6359.138317385622</v>
      </c>
    </row>
    <row r="9" spans="1:3" ht="12.75">
      <c r="A9" t="s">
        <v>438</v>
      </c>
      <c r="C9" s="148">
        <v>9</v>
      </c>
    </row>
    <row r="10" spans="1:3" ht="12.75">
      <c r="A10" t="s">
        <v>439</v>
      </c>
      <c r="C10" s="230">
        <f>SUM(C8*C9)</f>
        <v>57232.2448564706</v>
      </c>
    </row>
    <row r="11" spans="1:3" ht="12.75">
      <c r="A11" t="s">
        <v>440</v>
      </c>
      <c r="C11" s="148">
        <v>7.48</v>
      </c>
    </row>
    <row r="12" spans="1:3" ht="12.75">
      <c r="A12" t="s">
        <v>441</v>
      </c>
      <c r="C12" s="230">
        <f>SUM(C10/C11)</f>
        <v>7651.369633217994</v>
      </c>
    </row>
    <row r="14" spans="1:3" ht="12.75">
      <c r="A14" t="s">
        <v>442</v>
      </c>
      <c r="C14">
        <v>54000</v>
      </c>
    </row>
    <row r="15" ht="12.75">
      <c r="A15" t="s">
        <v>443</v>
      </c>
    </row>
    <row r="18" ht="12.75">
      <c r="A18" t="s">
        <v>607</v>
      </c>
    </row>
    <row r="19" spans="1:6" ht="12.75">
      <c r="A19" s="11" t="s">
        <v>444</v>
      </c>
      <c r="B19" s="11"/>
      <c r="C19" s="11"/>
      <c r="D19" s="11"/>
      <c r="E19" s="11"/>
      <c r="F19" s="11"/>
    </row>
    <row r="20" spans="1:10" ht="12.75">
      <c r="A20" t="s">
        <v>434</v>
      </c>
      <c r="C20" s="230">
        <f>SolarCells!$E$17</f>
        <v>121618520.32000001</v>
      </c>
      <c r="G20">
        <f>SUM(365*24*60)</f>
        <v>525600</v>
      </c>
      <c r="H20" t="s">
        <v>606</v>
      </c>
      <c r="J20">
        <f>SUM(G20/43560)</f>
        <v>12.066115702479339</v>
      </c>
    </row>
    <row r="21" spans="1:7" ht="12.75">
      <c r="A21" t="s">
        <v>445</v>
      </c>
      <c r="C21">
        <v>5000</v>
      </c>
      <c r="G21">
        <f>SUM(365*24*60)</f>
        <v>525600</v>
      </c>
    </row>
    <row r="22" spans="1:4" ht="12.75">
      <c r="A22" t="s">
        <v>446</v>
      </c>
      <c r="C22" s="231">
        <f>SUM(C20/C21)</f>
        <v>24323.704064</v>
      </c>
      <c r="D22" t="s">
        <v>447</v>
      </c>
    </row>
    <row r="23" spans="1:4" ht="12.75">
      <c r="A23" t="s">
        <v>448</v>
      </c>
      <c r="C23">
        <v>0.0813</v>
      </c>
      <c r="D23" t="s">
        <v>449</v>
      </c>
    </row>
    <row r="24" spans="3:4" ht="12.75">
      <c r="C24" s="231">
        <f>SUM(C22*C23)</f>
        <v>1977.5171404032</v>
      </c>
      <c r="D24" t="s">
        <v>450</v>
      </c>
    </row>
    <row r="25" spans="1:3" ht="12.75">
      <c r="A25" t="s">
        <v>438</v>
      </c>
      <c r="C25">
        <v>9</v>
      </c>
    </row>
    <row r="26" spans="3:4" ht="12.75">
      <c r="C26" s="231">
        <f>SUM(C24*C25)</f>
        <v>17797.6542636288</v>
      </c>
      <c r="D26" t="s">
        <v>451</v>
      </c>
    </row>
    <row r="27" spans="1:4" ht="12.75">
      <c r="A27" t="s">
        <v>452</v>
      </c>
      <c r="C27">
        <v>3.785</v>
      </c>
      <c r="D27" t="s">
        <v>453</v>
      </c>
    </row>
    <row r="28" spans="3:7" ht="12.75">
      <c r="C28" s="231">
        <f>SUM(C26/C27)</f>
        <v>4702.154362913818</v>
      </c>
      <c r="D28" t="s">
        <v>454</v>
      </c>
      <c r="G28" s="231">
        <f>SUM(C28/60)/8</f>
        <v>9.79615492273712</v>
      </c>
    </row>
    <row r="29" spans="3:4" ht="12.75">
      <c r="C29">
        <v>8</v>
      </c>
      <c r="D29" t="s">
        <v>455</v>
      </c>
    </row>
    <row r="30" spans="3:4" ht="12.75">
      <c r="C30" s="231">
        <f>SUM(C28*C29)</f>
        <v>37617.23490331054</v>
      </c>
      <c r="D30" t="s">
        <v>456</v>
      </c>
    </row>
    <row r="31" spans="3:4" ht="12.75">
      <c r="C31">
        <v>365</v>
      </c>
      <c r="D31" t="s">
        <v>457</v>
      </c>
    </row>
    <row r="32" spans="3:4" ht="12.75">
      <c r="C32" s="231">
        <f>SUM(C30*C31)</f>
        <v>13730290.739708347</v>
      </c>
      <c r="D32" t="s">
        <v>458</v>
      </c>
    </row>
    <row r="33" spans="1:4" ht="12.75">
      <c r="A33" t="s">
        <v>442</v>
      </c>
      <c r="C33">
        <v>54000</v>
      </c>
      <c r="D33" t="s">
        <v>459</v>
      </c>
    </row>
    <row r="34" spans="1:3" ht="12.75">
      <c r="A34" t="s">
        <v>460</v>
      </c>
      <c r="C34" s="231">
        <f>SUM(C33/300*C32)</f>
        <v>2471452333.1475024</v>
      </c>
    </row>
    <row r="37" ht="12.75">
      <c r="A37" t="s">
        <v>244</v>
      </c>
    </row>
    <row r="39" spans="1:2" ht="12.75">
      <c r="A39" t="s">
        <v>245</v>
      </c>
      <c r="B39" s="136">
        <v>0.112</v>
      </c>
    </row>
    <row r="40" spans="1:2" ht="12.75">
      <c r="A40" t="s">
        <v>246</v>
      </c>
      <c r="B40" s="136">
        <v>0.888</v>
      </c>
    </row>
    <row r="41" ht="12.75">
      <c r="B41" s="136">
        <f>SUM(B39:B40)</f>
        <v>1</v>
      </c>
    </row>
    <row r="43" ht="12.75">
      <c r="A43" t="s">
        <v>249</v>
      </c>
    </row>
    <row r="44" ht="12.75">
      <c r="A44" t="s">
        <v>250</v>
      </c>
    </row>
    <row r="45" ht="12.75">
      <c r="A45" t="s">
        <v>251</v>
      </c>
    </row>
    <row r="46" ht="12.75">
      <c r="A46" t="s">
        <v>252</v>
      </c>
    </row>
    <row r="48" ht="12.75">
      <c r="A48" t="s">
        <v>247</v>
      </c>
    </row>
    <row r="49" ht="12.75">
      <c r="A49" t="s">
        <v>248</v>
      </c>
    </row>
    <row r="52" ht="12.75">
      <c r="A52" s="149" t="s">
        <v>253</v>
      </c>
    </row>
    <row r="53" ht="12.75">
      <c r="A53" s="149" t="s">
        <v>254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1">
      <selection activeCell="H5" sqref="H5"/>
    </sheetView>
  </sheetViews>
  <sheetFormatPr defaultColWidth="9.140625" defaultRowHeight="12.75"/>
  <cols>
    <col min="1" max="1" width="19.140625" style="0" customWidth="1"/>
    <col min="2" max="2" width="20.140625" style="0" customWidth="1"/>
    <col min="3" max="3" width="18.8515625" style="0" customWidth="1"/>
    <col min="4" max="4" width="28.57421875" style="0" customWidth="1"/>
    <col min="5" max="5" width="25.28125" style="0" bestFit="1" customWidth="1"/>
    <col min="6" max="6" width="34.421875" style="0" bestFit="1" customWidth="1"/>
    <col min="7" max="7" width="18.140625" style="0" bestFit="1" customWidth="1"/>
    <col min="8" max="8" width="17.57421875" style="0" bestFit="1" customWidth="1"/>
  </cols>
  <sheetData>
    <row r="1" spans="1:3" ht="23.25">
      <c r="A1" s="54" t="s">
        <v>115</v>
      </c>
      <c r="B1" s="54"/>
      <c r="C1" s="54"/>
    </row>
    <row r="3" spans="1:6" ht="12.75">
      <c r="A3" t="s">
        <v>222</v>
      </c>
      <c r="F3" t="s">
        <v>259</v>
      </c>
    </row>
    <row r="4" spans="1:8" ht="15">
      <c r="A4" s="73" t="s">
        <v>223</v>
      </c>
      <c r="B4" s="73" t="s">
        <v>36</v>
      </c>
      <c r="C4" s="73" t="s">
        <v>116</v>
      </c>
      <c r="D4" s="73" t="s">
        <v>117</v>
      </c>
      <c r="E4" s="73" t="s">
        <v>224</v>
      </c>
      <c r="F4" s="73" t="s">
        <v>258</v>
      </c>
      <c r="G4" s="73" t="s">
        <v>260</v>
      </c>
      <c r="H4" s="73" t="s">
        <v>225</v>
      </c>
    </row>
    <row r="5" spans="1:8" ht="15">
      <c r="A5" s="134">
        <f>SolarCells!$E$17</f>
        <v>121618520.32000001</v>
      </c>
      <c r="B5" s="19" t="s">
        <v>118</v>
      </c>
      <c r="C5" s="19">
        <v>5</v>
      </c>
      <c r="D5" s="19">
        <v>1</v>
      </c>
      <c r="E5" s="269">
        <f>SUM(A5/(C5*1000)*D5)</f>
        <v>24323.704064</v>
      </c>
      <c r="F5" s="269">
        <f>SUM(E5/10)</f>
        <v>2432.3704064000003</v>
      </c>
      <c r="G5" s="27">
        <v>1.5</v>
      </c>
      <c r="H5" s="27">
        <f>SUM(F5*G5)</f>
        <v>3648.5556096000005</v>
      </c>
    </row>
    <row r="6" spans="1:8" ht="15">
      <c r="A6" s="74">
        <f>SolarCells!$E$13</f>
        <v>209792</v>
      </c>
      <c r="B6" s="19" t="s">
        <v>118</v>
      </c>
      <c r="C6" s="19">
        <v>5</v>
      </c>
      <c r="D6" s="19">
        <v>1</v>
      </c>
      <c r="E6" s="19">
        <f>SUM(A6/(C6*1000)*D6)</f>
        <v>41.9584</v>
      </c>
      <c r="F6" s="19">
        <f>SUM(E6/10)</f>
        <v>4.19584</v>
      </c>
      <c r="G6" s="27">
        <v>1.5</v>
      </c>
      <c r="H6" s="27">
        <f>SUM(F6*G6)</f>
        <v>6.293759999999999</v>
      </c>
    </row>
    <row r="7" ht="15">
      <c r="A7" s="73" t="s">
        <v>226</v>
      </c>
    </row>
    <row r="8" ht="12.75">
      <c r="A8" t="s">
        <v>227</v>
      </c>
    </row>
    <row r="9" spans="1:4" ht="12.75">
      <c r="A9" s="30" t="s">
        <v>228</v>
      </c>
      <c r="B9" s="30" t="s">
        <v>229</v>
      </c>
      <c r="C9" s="30" t="s">
        <v>230</v>
      </c>
      <c r="D9" s="135" t="s">
        <v>231</v>
      </c>
    </row>
    <row r="10" spans="1:4" ht="12.75">
      <c r="A10">
        <v>100</v>
      </c>
      <c r="B10">
        <f>$E$5</f>
        <v>24323.704064</v>
      </c>
      <c r="C10">
        <f>SUM(B10/A10)</f>
        <v>243.23704064</v>
      </c>
      <c r="D10">
        <v>500</v>
      </c>
    </row>
    <row r="13" spans="1:12" ht="12.75">
      <c r="A13" s="75" t="s">
        <v>119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5" spans="2:6" ht="12.75">
      <c r="B15" s="5" t="s">
        <v>120</v>
      </c>
      <c r="C15" s="5"/>
      <c r="D15" s="5"/>
      <c r="E15" s="15"/>
      <c r="F15" s="15"/>
    </row>
    <row r="16" ht="12.75">
      <c r="B16" s="15" t="s">
        <v>232</v>
      </c>
    </row>
    <row r="19" ht="12.75">
      <c r="A19" t="s">
        <v>183</v>
      </c>
    </row>
    <row r="20" ht="12.75">
      <c r="A20" s="15" t="s">
        <v>188</v>
      </c>
    </row>
    <row r="21" spans="1:6" ht="15">
      <c r="A21" s="73" t="s">
        <v>36</v>
      </c>
      <c r="B21" s="73" t="s">
        <v>84</v>
      </c>
      <c r="C21" s="73" t="s">
        <v>185</v>
      </c>
      <c r="D21" s="73" t="s">
        <v>35</v>
      </c>
      <c r="E21" s="73" t="s">
        <v>187</v>
      </c>
      <c r="F21" s="73"/>
    </row>
    <row r="22" spans="2:6" ht="12.75">
      <c r="B22" t="s">
        <v>184</v>
      </c>
      <c r="C22">
        <v>6</v>
      </c>
      <c r="D22" t="s">
        <v>186</v>
      </c>
      <c r="E22" s="136">
        <v>0.5</v>
      </c>
      <c r="F22" s="136"/>
    </row>
    <row r="24" ht="12.75">
      <c r="A24" t="s">
        <v>240</v>
      </c>
    </row>
    <row r="25" ht="12.75">
      <c r="A25" t="s">
        <v>241</v>
      </c>
    </row>
    <row r="27" ht="12.75">
      <c r="A27" t="s">
        <v>242</v>
      </c>
    </row>
    <row r="29" ht="12.75">
      <c r="B29" t="s">
        <v>243</v>
      </c>
    </row>
    <row r="48" ht="12.75">
      <c r="G48" t="s">
        <v>1</v>
      </c>
    </row>
  </sheetData>
  <sheetProtection/>
  <hyperlinks>
    <hyperlink ref="B15" r:id="rId1" display="http://www.stuartenergy.com/hydrogen/techreview.asp"/>
    <hyperlink ref="A20" r:id="rId2" display="http://www.fuelcellstore.com/cgi-bin/fuelweb/view=item/cat=23/subcat=26/product=181 "/>
    <hyperlink ref="B16" r:id="rId3" display="http://www.stuartenergy.com/technology/tech_platforms.html "/>
    <hyperlink ref="A5" location="SolarCells!A1" display="SolarCells!A1"/>
  </hyperlinks>
  <printOptions/>
  <pageMargins left="0.75" right="0.75" top="1" bottom="1" header="0.5" footer="0.5"/>
  <pageSetup fitToHeight="1" fitToWidth="1" horizontalDpi="600" verticalDpi="600" orientation="landscape" scale="67" r:id="rId4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"/>
  <sheetViews>
    <sheetView workbookViewId="0" topLeftCell="E1">
      <selection activeCell="J7" sqref="J7"/>
    </sheetView>
  </sheetViews>
  <sheetFormatPr defaultColWidth="9.140625" defaultRowHeight="12.75"/>
  <cols>
    <col min="2" max="2" width="13.421875" style="0" bestFit="1" customWidth="1"/>
    <col min="3" max="3" width="10.140625" style="0" bestFit="1" customWidth="1"/>
    <col min="4" max="4" width="14.421875" style="0" bestFit="1" customWidth="1"/>
    <col min="5" max="5" width="13.140625" style="0" bestFit="1" customWidth="1"/>
    <col min="6" max="6" width="16.8515625" style="0" bestFit="1" customWidth="1"/>
    <col min="7" max="9" width="16.8515625" style="0" customWidth="1"/>
    <col min="10" max="10" width="15.00390625" style="0" bestFit="1" customWidth="1"/>
    <col min="11" max="11" width="15.00390625" style="0" customWidth="1"/>
    <col min="12" max="12" width="20.28125" style="0" bestFit="1" customWidth="1"/>
    <col min="14" max="14" width="12.7109375" style="0" bestFit="1" customWidth="1"/>
    <col min="15" max="15" width="14.140625" style="0" bestFit="1" customWidth="1"/>
  </cols>
  <sheetData>
    <row r="2" ht="33">
      <c r="A2" s="1" t="s">
        <v>178</v>
      </c>
    </row>
    <row r="5" ht="12.75">
      <c r="A5" t="s">
        <v>177</v>
      </c>
    </row>
    <row r="6" spans="1:15" ht="12.75">
      <c r="A6" s="11" t="s">
        <v>104</v>
      </c>
      <c r="B6" s="11" t="s">
        <v>36</v>
      </c>
      <c r="C6" s="11" t="s">
        <v>152</v>
      </c>
      <c r="D6" s="11" t="s">
        <v>151</v>
      </c>
      <c r="E6" s="11" t="s">
        <v>150</v>
      </c>
      <c r="F6" s="11" t="s">
        <v>196</v>
      </c>
      <c r="G6" s="11" t="s">
        <v>198</v>
      </c>
      <c r="H6" s="11" t="s">
        <v>605</v>
      </c>
      <c r="I6" s="11" t="s">
        <v>199</v>
      </c>
      <c r="J6" s="11" t="s">
        <v>153</v>
      </c>
      <c r="K6" s="11" t="s">
        <v>801</v>
      </c>
      <c r="L6" s="11" t="s">
        <v>154</v>
      </c>
      <c r="M6" s="11" t="s">
        <v>155</v>
      </c>
      <c r="N6" s="11" t="s">
        <v>156</v>
      </c>
      <c r="O6" s="11" t="s">
        <v>157</v>
      </c>
    </row>
    <row r="7" spans="1:15" ht="12.75">
      <c r="A7" s="112">
        <v>1000</v>
      </c>
      <c r="B7" t="s">
        <v>149</v>
      </c>
      <c r="C7" s="112">
        <v>6</v>
      </c>
      <c r="D7">
        <f>SUM(C7*A7)*4</f>
        <v>24000</v>
      </c>
      <c r="E7">
        <f>SUM(D7*12)</f>
        <v>288000</v>
      </c>
      <c r="F7" s="113">
        <v>66</v>
      </c>
      <c r="G7" s="113">
        <f>SUM(F7*A7*C7)</f>
        <v>396000</v>
      </c>
      <c r="H7" s="113">
        <f>SUM(G7/5280)</f>
        <v>75</v>
      </c>
      <c r="I7" s="113">
        <f>SUM(G7/3270)</f>
        <v>121.10091743119266</v>
      </c>
      <c r="J7">
        <f>SUM(F7*E7)</f>
        <v>19008000</v>
      </c>
      <c r="K7">
        <f>SUM(J7/5280)</f>
        <v>3600</v>
      </c>
      <c r="L7">
        <f>SUM(J7/3270)</f>
        <v>5812.844036697248</v>
      </c>
      <c r="M7">
        <f>SUM('Costs per kilometer'!A38+'Costs per kilometer'!A39+'Costs per kilometer'!A40)</f>
        <v>289.855</v>
      </c>
      <c r="N7">
        <f>SUM(M7/L7)</f>
        <v>0.04986457544191919</v>
      </c>
      <c r="O7">
        <f>SUM(N7*12)</f>
        <v>0.5983749053030303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57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ignoredErrors>
    <ignoredError sqref="J7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3"/>
  <sheetViews>
    <sheetView zoomScale="50" zoomScaleNormal="50" workbookViewId="0" topLeftCell="A1">
      <selection activeCell="I34" sqref="I34"/>
    </sheetView>
  </sheetViews>
  <sheetFormatPr defaultColWidth="9.140625" defaultRowHeight="12.75"/>
  <cols>
    <col min="1" max="1" width="34.7109375" style="0" customWidth="1"/>
    <col min="2" max="2" width="15.421875" style="0" customWidth="1"/>
    <col min="3" max="3" width="20.7109375" style="0" bestFit="1" customWidth="1"/>
    <col min="4" max="4" width="17.8515625" style="0" bestFit="1" customWidth="1"/>
    <col min="5" max="5" width="18.8515625" style="0" bestFit="1" customWidth="1"/>
    <col min="6" max="6" width="16.421875" style="0" customWidth="1"/>
    <col min="7" max="7" width="19.140625" style="0" customWidth="1"/>
    <col min="8" max="8" width="20.57421875" style="0" customWidth="1"/>
    <col min="9" max="9" width="18.421875" style="0" bestFit="1" customWidth="1"/>
  </cols>
  <sheetData>
    <row r="3" ht="18">
      <c r="A3" s="213" t="s">
        <v>802</v>
      </c>
    </row>
    <row r="4" spans="1:9" ht="12.75">
      <c r="A4" s="30" t="s">
        <v>803</v>
      </c>
      <c r="B4" s="30" t="s">
        <v>77</v>
      </c>
      <c r="C4" s="30" t="s">
        <v>804</v>
      </c>
      <c r="D4" s="30" t="s">
        <v>805</v>
      </c>
      <c r="E4" s="30" t="s">
        <v>806</v>
      </c>
      <c r="F4" s="30" t="s">
        <v>807</v>
      </c>
      <c r="G4" s="30" t="s">
        <v>78</v>
      </c>
      <c r="H4" s="30" t="s">
        <v>808</v>
      </c>
      <c r="I4" s="30" t="s">
        <v>809</v>
      </c>
    </row>
    <row r="5" spans="1:9" ht="12.75">
      <c r="A5" t="s">
        <v>810</v>
      </c>
      <c r="B5" s="270">
        <v>283.87</v>
      </c>
      <c r="C5">
        <f>'[3]Return On Investment'!$C$16</f>
        <v>180</v>
      </c>
      <c r="D5" s="148">
        <f aca="true" t="shared" si="0" ref="D5:D12">SUM(B5/C5)</f>
        <v>1.5770555555555557</v>
      </c>
      <c r="E5" s="271">
        <f aca="true" t="shared" si="1" ref="E5:E12">SUM(60*D5)</f>
        <v>94.62333333333333</v>
      </c>
      <c r="F5" s="272">
        <f aca="true" t="shared" si="2" ref="F5:F11">SUM(B5/70)*60</f>
        <v>243.31714285714287</v>
      </c>
      <c r="G5" s="273">
        <f aca="true" t="shared" si="3" ref="G5:G11">SUM(B5/0.62)</f>
        <v>457.85483870967744</v>
      </c>
      <c r="H5" s="27">
        <f>'[3]Costs per kilometer'!$F$52</f>
        <v>3026000.3554311027</v>
      </c>
      <c r="I5" s="27">
        <f aca="true" t="shared" si="4" ref="I5:I12">SUM(G5*H5)</f>
        <v>1385468904.671334</v>
      </c>
    </row>
    <row r="6" spans="1:9" ht="12.75">
      <c r="A6" t="s">
        <v>811</v>
      </c>
      <c r="B6" s="274">
        <v>42.6</v>
      </c>
      <c r="C6">
        <f>'[3]Return On Investment'!$C$16</f>
        <v>180</v>
      </c>
      <c r="D6" s="148">
        <f t="shared" si="0"/>
        <v>0.23666666666666666</v>
      </c>
      <c r="E6" s="271">
        <f t="shared" si="1"/>
        <v>14.2</v>
      </c>
      <c r="F6" s="272">
        <f t="shared" si="2"/>
        <v>36.51428571428571</v>
      </c>
      <c r="G6" s="273">
        <f t="shared" si="3"/>
        <v>68.70967741935485</v>
      </c>
      <c r="H6" s="27">
        <f>'[3]Costs per kilometer'!$F$52</f>
        <v>3026000.3554311027</v>
      </c>
      <c r="I6" s="27">
        <f t="shared" si="4"/>
        <v>207915508.2925242</v>
      </c>
    </row>
    <row r="7" spans="1:9" ht="12.75">
      <c r="A7" t="s">
        <v>812</v>
      </c>
      <c r="B7" s="273">
        <v>106.7</v>
      </c>
      <c r="C7">
        <f>'[3]Return On Investment'!$C$16</f>
        <v>180</v>
      </c>
      <c r="D7" s="148">
        <f t="shared" si="0"/>
        <v>0.5927777777777778</v>
      </c>
      <c r="E7" s="271">
        <f t="shared" si="1"/>
        <v>35.56666666666667</v>
      </c>
      <c r="F7" s="272">
        <f t="shared" si="2"/>
        <v>91.45714285714286</v>
      </c>
      <c r="G7" s="273">
        <f t="shared" si="3"/>
        <v>172.09677419354838</v>
      </c>
      <c r="H7" s="27">
        <f>'[3]Costs per kilometer'!$F$52</f>
        <v>3026000.3554311027</v>
      </c>
      <c r="I7" s="27">
        <f t="shared" si="4"/>
        <v>520764899.87822366</v>
      </c>
    </row>
    <row r="8" spans="1:9" ht="12.75">
      <c r="A8" t="s">
        <v>813</v>
      </c>
      <c r="B8" s="273">
        <v>91</v>
      </c>
      <c r="C8">
        <f>'[3]Return On Investment'!$C$16</f>
        <v>180</v>
      </c>
      <c r="D8" s="148">
        <f t="shared" si="0"/>
        <v>0.5055555555555555</v>
      </c>
      <c r="E8" s="271">
        <f t="shared" si="1"/>
        <v>30.333333333333332</v>
      </c>
      <c r="F8" s="272">
        <f t="shared" si="2"/>
        <v>78</v>
      </c>
      <c r="G8" s="273">
        <f t="shared" si="3"/>
        <v>146.7741935483871</v>
      </c>
      <c r="H8" s="27">
        <f>'[3]Costs per kilometer'!$F$52</f>
        <v>3026000.3554311027</v>
      </c>
      <c r="I8" s="27">
        <f t="shared" si="4"/>
        <v>444138761.84553283</v>
      </c>
    </row>
    <row r="9" spans="1:9" ht="12.75">
      <c r="A9" t="s">
        <v>814</v>
      </c>
      <c r="B9" s="273">
        <v>184</v>
      </c>
      <c r="C9">
        <f>'[3]Return On Investment'!$C$16</f>
        <v>180</v>
      </c>
      <c r="D9" s="148">
        <f t="shared" si="0"/>
        <v>1.0222222222222221</v>
      </c>
      <c r="E9" s="271">
        <f t="shared" si="1"/>
        <v>61.33333333333333</v>
      </c>
      <c r="F9" s="272">
        <f t="shared" si="2"/>
        <v>157.71428571428572</v>
      </c>
      <c r="G9" s="273">
        <f t="shared" si="3"/>
        <v>296.7741935483871</v>
      </c>
      <c r="H9" s="27">
        <f>'[3]Costs per kilometer'!$F$52</f>
        <v>3026000.3554311027</v>
      </c>
      <c r="I9" s="27">
        <f t="shared" si="4"/>
        <v>898038815.1601981</v>
      </c>
    </row>
    <row r="10" spans="1:9" ht="12.75">
      <c r="A10" t="s">
        <v>815</v>
      </c>
      <c r="B10" s="273">
        <v>19.9</v>
      </c>
      <c r="C10">
        <f>'[3]Return On Investment'!$C$16</f>
        <v>180</v>
      </c>
      <c r="D10" s="148">
        <f t="shared" si="0"/>
        <v>0.11055555555555555</v>
      </c>
      <c r="E10" s="271">
        <f t="shared" si="1"/>
        <v>6.633333333333333</v>
      </c>
      <c r="F10" s="272">
        <f t="shared" si="2"/>
        <v>17.057142857142857</v>
      </c>
      <c r="G10" s="273">
        <f t="shared" si="3"/>
        <v>32.096774193548384</v>
      </c>
      <c r="H10" s="27">
        <f>'[3]Costs per kilometer'!$F$52</f>
        <v>3026000.3554311027</v>
      </c>
      <c r="I10" s="27">
        <f t="shared" si="4"/>
        <v>97124850.11786926</v>
      </c>
    </row>
    <row r="11" spans="1:9" ht="12.75">
      <c r="A11" t="s">
        <v>816</v>
      </c>
      <c r="B11" s="273">
        <v>22</v>
      </c>
      <c r="C11">
        <f>'[3]Return On Investment'!$C$16</f>
        <v>180</v>
      </c>
      <c r="D11" s="148">
        <f t="shared" si="0"/>
        <v>0.12222222222222222</v>
      </c>
      <c r="E11" s="271">
        <f t="shared" si="1"/>
        <v>7.333333333333333</v>
      </c>
      <c r="F11" s="272">
        <f t="shared" si="2"/>
        <v>18.857142857142858</v>
      </c>
      <c r="G11" s="273">
        <f t="shared" si="3"/>
        <v>35.483870967741936</v>
      </c>
      <c r="H11" s="27">
        <f>'[3]Costs per kilometer'!$F$52</f>
        <v>3026000.3554311027</v>
      </c>
      <c r="I11" s="27">
        <f t="shared" si="4"/>
        <v>107374206.16045849</v>
      </c>
    </row>
    <row r="12" spans="1:9" ht="12.75">
      <c r="A12" t="s">
        <v>817</v>
      </c>
      <c r="B12" s="28">
        <f>SUM(B6+B10)</f>
        <v>62.5</v>
      </c>
      <c r="C12">
        <f>'[3]Return On Investment'!$C$16</f>
        <v>180</v>
      </c>
      <c r="D12" s="148">
        <f t="shared" si="0"/>
        <v>0.3472222222222222</v>
      </c>
      <c r="E12" s="271">
        <f t="shared" si="1"/>
        <v>20.833333333333332</v>
      </c>
      <c r="G12" s="28">
        <f>SUM(G6+G10)</f>
        <v>100.80645161290323</v>
      </c>
      <c r="H12" s="27">
        <f>'[3]Costs per kilometer'!$F$52</f>
        <v>3026000.3554311027</v>
      </c>
      <c r="I12" s="27">
        <f t="shared" si="4"/>
        <v>305040358.4103934</v>
      </c>
    </row>
    <row r="13" spans="4:6" ht="13.5" thickBot="1">
      <c r="D13" s="35"/>
      <c r="E13" s="35"/>
      <c r="F13" s="35"/>
    </row>
    <row r="14" spans="8:9" ht="12.75">
      <c r="H14" s="28"/>
      <c r="I14" s="27"/>
    </row>
    <row r="18" spans="1:4" ht="12.75">
      <c r="A18" s="30" t="s">
        <v>818</v>
      </c>
      <c r="B18" s="30" t="s">
        <v>77</v>
      </c>
      <c r="C18" s="30" t="s">
        <v>819</v>
      </c>
      <c r="D18" s="30" t="s">
        <v>820</v>
      </c>
    </row>
    <row r="19" spans="1:4" ht="12.75">
      <c r="A19" t="s">
        <v>821</v>
      </c>
      <c r="B19">
        <v>6</v>
      </c>
      <c r="C19" s="27">
        <f>'[3]Costs per kilometer'!$F$52</f>
        <v>3026000.3554311027</v>
      </c>
      <c r="D19" s="27">
        <f>SUM(B19*C19)</f>
        <v>18156002.132586617</v>
      </c>
    </row>
    <row r="20" spans="1:4" ht="12.75">
      <c r="A20" t="s">
        <v>647</v>
      </c>
      <c r="B20">
        <v>8</v>
      </c>
      <c r="C20" s="27">
        <f>'[3]Costs per kilometer'!$F$52</f>
        <v>3026000.3554311027</v>
      </c>
      <c r="D20" s="27">
        <f>SUM(B20*C20)</f>
        <v>24208002.84344882</v>
      </c>
    </row>
    <row r="22" spans="1:4" ht="12.75">
      <c r="A22" t="s">
        <v>822</v>
      </c>
      <c r="B22" s="175"/>
      <c r="C22" s="275"/>
      <c r="D22" s="276"/>
    </row>
    <row r="23" spans="2:5" ht="12.75">
      <c r="B23" s="175"/>
      <c r="C23" s="275"/>
      <c r="D23" s="276"/>
      <c r="E23" s="276"/>
    </row>
  </sheetData>
  <printOptions/>
  <pageMargins left="0.75" right="0.75" top="1" bottom="1" header="0.5" footer="0.5"/>
  <pageSetup fitToHeight="1" fitToWidth="1" horizontalDpi="600" verticalDpi="600" orientation="landscape" scale="67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28"/>
  <sheetViews>
    <sheetView zoomScale="50" zoomScaleNormal="50" workbookViewId="0" topLeftCell="A8">
      <selection activeCell="AB53" sqref="AB53"/>
    </sheetView>
  </sheetViews>
  <sheetFormatPr defaultColWidth="9.140625" defaultRowHeight="12.75"/>
  <cols>
    <col min="1" max="1" width="14.421875" style="0" customWidth="1"/>
  </cols>
  <sheetData>
    <row r="1" spans="1:7" ht="21" customHeight="1" thickBot="1">
      <c r="A1" s="277" t="s">
        <v>823</v>
      </c>
      <c r="B1" s="277"/>
      <c r="C1" s="277"/>
      <c r="D1" s="277"/>
      <c r="E1" s="277"/>
      <c r="F1" s="277"/>
      <c r="G1" s="35"/>
    </row>
    <row r="2" spans="1:2" ht="12.75">
      <c r="A2" t="s">
        <v>824</v>
      </c>
      <c r="B2" t="s">
        <v>825</v>
      </c>
    </row>
    <row r="3" spans="1:2" ht="12.75">
      <c r="A3" t="s">
        <v>826</v>
      </c>
      <c r="B3" t="s">
        <v>276</v>
      </c>
    </row>
    <row r="4" spans="1:2" ht="12.75">
      <c r="A4" t="s">
        <v>827</v>
      </c>
      <c r="B4" t="s">
        <v>626</v>
      </c>
    </row>
    <row r="5" spans="1:2" ht="12.75">
      <c r="A5" t="s">
        <v>828</v>
      </c>
      <c r="B5" t="s">
        <v>829</v>
      </c>
    </row>
    <row r="6" spans="1:2" ht="12.75">
      <c r="A6" t="s">
        <v>830</v>
      </c>
      <c r="B6" t="s">
        <v>831</v>
      </c>
    </row>
    <row r="7" spans="1:2" ht="12.75">
      <c r="A7" t="s">
        <v>832</v>
      </c>
      <c r="B7" t="s">
        <v>833</v>
      </c>
    </row>
    <row r="8" ht="13.5" thickBot="1"/>
    <row r="9" spans="1:7" ht="15.75" thickBot="1">
      <c r="A9" t="s">
        <v>834</v>
      </c>
      <c r="F9" s="52" t="s">
        <v>835</v>
      </c>
      <c r="G9" s="278" t="s">
        <v>836</v>
      </c>
    </row>
    <row r="10" spans="1:7" ht="23.25">
      <c r="A10" s="279" t="s">
        <v>837</v>
      </c>
      <c r="B10" s="280" t="s">
        <v>838</v>
      </c>
      <c r="C10" s="280"/>
      <c r="D10" s="280"/>
      <c r="E10" s="280"/>
      <c r="F10" s="280"/>
      <c r="G10" s="281"/>
    </row>
    <row r="11" spans="1:7" ht="12.75">
      <c r="A11" t="s">
        <v>825</v>
      </c>
      <c r="B11" s="282">
        <v>1</v>
      </c>
      <c r="C11" s="283"/>
      <c r="D11" s="283"/>
      <c r="E11" s="283"/>
      <c r="F11" s="283"/>
      <c r="G11" s="283"/>
    </row>
    <row r="12" spans="1:7" ht="12.75">
      <c r="A12" t="s">
        <v>564</v>
      </c>
      <c r="B12" s="282"/>
      <c r="C12" s="283">
        <v>14</v>
      </c>
      <c r="D12" s="283"/>
      <c r="E12" s="283"/>
      <c r="F12" s="283"/>
      <c r="G12" s="283"/>
    </row>
    <row r="13" spans="1:7" ht="12.75">
      <c r="A13" t="s">
        <v>839</v>
      </c>
      <c r="B13" s="282"/>
      <c r="C13" s="283"/>
      <c r="D13" s="283">
        <v>1</v>
      </c>
      <c r="E13" s="283"/>
      <c r="F13" s="283"/>
      <c r="G13" s="283"/>
    </row>
    <row r="14" spans="1:7" ht="12.75">
      <c r="A14" t="s">
        <v>840</v>
      </c>
      <c r="B14" s="282"/>
      <c r="C14" s="283"/>
      <c r="D14" s="283"/>
      <c r="E14" s="283">
        <v>8</v>
      </c>
      <c r="F14" s="283"/>
      <c r="G14" s="283"/>
    </row>
    <row r="15" spans="1:7" ht="12.75">
      <c r="A15" t="s">
        <v>841</v>
      </c>
      <c r="B15" s="282"/>
      <c r="C15" s="283"/>
      <c r="D15" s="283"/>
      <c r="E15" s="283"/>
      <c r="F15" s="283">
        <v>2</v>
      </c>
      <c r="G15" s="283"/>
    </row>
    <row r="16" spans="1:7" ht="13.5" thickBot="1">
      <c r="A16" s="35" t="s">
        <v>842</v>
      </c>
      <c r="B16" s="284"/>
      <c r="C16" s="285"/>
      <c r="D16" s="285"/>
      <c r="E16" s="285"/>
      <c r="F16" s="285"/>
      <c r="G16" s="285">
        <v>6</v>
      </c>
    </row>
    <row r="17" spans="1:7" ht="12.75">
      <c r="A17" s="18"/>
      <c r="B17" s="18">
        <f aca="true" t="shared" si="0" ref="B17:G17">SUM(B11:B16)</f>
        <v>1</v>
      </c>
      <c r="C17" s="18">
        <f t="shared" si="0"/>
        <v>14</v>
      </c>
      <c r="D17" s="18">
        <f t="shared" si="0"/>
        <v>1</v>
      </c>
      <c r="E17" s="18">
        <f t="shared" si="0"/>
        <v>8</v>
      </c>
      <c r="F17" s="18">
        <f t="shared" si="0"/>
        <v>2</v>
      </c>
      <c r="G17" s="18">
        <f t="shared" si="0"/>
        <v>6</v>
      </c>
    </row>
    <row r="18" spans="1:7" ht="15">
      <c r="A18" s="286" t="s">
        <v>843</v>
      </c>
      <c r="B18" s="286"/>
      <c r="C18" s="287" t="str">
        <f ca="1">CELL("contents",B17)&amp;$G$9&amp;(C17)&amp;$G$9&amp;(D17)&amp;$G$9&amp;(E17)&amp;$G$9&amp;F17&amp;$G$9&amp;G17</f>
        <v>1.14.1.8.2.6</v>
      </c>
      <c r="D18" s="287"/>
      <c r="E18" s="287"/>
      <c r="F18" s="287"/>
      <c r="G18" s="287"/>
    </row>
    <row r="19" ht="12.75">
      <c r="A19" s="4"/>
    </row>
    <row r="20" spans="1:7" ht="23.25">
      <c r="A20" s="279" t="s">
        <v>837</v>
      </c>
      <c r="B20" s="280" t="s">
        <v>838</v>
      </c>
      <c r="C20" s="280"/>
      <c r="D20" s="280"/>
      <c r="E20" s="280"/>
      <c r="F20" s="280"/>
      <c r="G20" s="288"/>
    </row>
    <row r="21" spans="1:7" ht="12.75">
      <c r="A21" t="s">
        <v>825</v>
      </c>
      <c r="B21" s="282">
        <v>1</v>
      </c>
      <c r="C21" s="283"/>
      <c r="D21" s="283"/>
      <c r="E21" s="283"/>
      <c r="F21" s="283"/>
      <c r="G21" s="283"/>
    </row>
    <row r="22" spans="1:7" ht="12.75">
      <c r="A22" t="s">
        <v>555</v>
      </c>
      <c r="B22" s="282"/>
      <c r="C22" s="283">
        <v>17</v>
      </c>
      <c r="D22" s="283"/>
      <c r="E22" s="283"/>
      <c r="F22" s="283"/>
      <c r="G22" s="283"/>
    </row>
    <row r="23" spans="1:7" ht="12.75">
      <c r="A23" t="s">
        <v>844</v>
      </c>
      <c r="B23" s="282"/>
      <c r="C23" s="283"/>
      <c r="D23" s="283">
        <v>14</v>
      </c>
      <c r="E23" s="283"/>
      <c r="F23" s="283"/>
      <c r="G23" s="283"/>
    </row>
    <row r="24" spans="1:7" ht="12.75">
      <c r="A24" t="s">
        <v>845</v>
      </c>
      <c r="B24" s="282"/>
      <c r="C24" s="283"/>
      <c r="D24" s="283"/>
      <c r="E24" s="283">
        <v>1</v>
      </c>
      <c r="F24" s="283"/>
      <c r="G24" s="283"/>
    </row>
    <row r="25" spans="1:7" ht="12.75">
      <c r="A25" t="s">
        <v>841</v>
      </c>
      <c r="B25" s="282"/>
      <c r="C25" s="283"/>
      <c r="D25" s="283"/>
      <c r="E25" s="283"/>
      <c r="F25" s="283">
        <v>16</v>
      </c>
      <c r="G25" s="283"/>
    </row>
    <row r="26" spans="1:7" ht="13.5" thickBot="1">
      <c r="A26" s="35" t="s">
        <v>842</v>
      </c>
      <c r="B26" s="284"/>
      <c r="C26" s="285"/>
      <c r="D26" s="285"/>
      <c r="E26" s="285"/>
      <c r="F26" s="285"/>
      <c r="G26" s="285">
        <v>5</v>
      </c>
    </row>
    <row r="27" spans="1:7" ht="12.75">
      <c r="A27" s="18"/>
      <c r="B27" s="18">
        <v>1</v>
      </c>
      <c r="C27" s="18">
        <f>SUM(C21:C26)</f>
        <v>17</v>
      </c>
      <c r="D27" s="18">
        <f>SUM(D21:D26)</f>
        <v>14</v>
      </c>
      <c r="E27" s="18">
        <f>SUM(E21:E26)</f>
        <v>1</v>
      </c>
      <c r="F27" s="18">
        <f>SUM(F21:F26)</f>
        <v>16</v>
      </c>
      <c r="G27" s="18">
        <f>SUM(G21:G26)</f>
        <v>5</v>
      </c>
    </row>
    <row r="28" spans="1:7" ht="15">
      <c r="A28" s="286" t="s">
        <v>846</v>
      </c>
      <c r="B28" s="286"/>
      <c r="C28" s="287" t="str">
        <f ca="1">CELL("contents",B27)&amp;$G$9&amp;(C27)&amp;$G$9&amp;D27&amp;$G$9&amp;E27&amp;$G$9&amp;F27&amp;$G$9&amp;G27</f>
        <v>1.17.14.1.16.5</v>
      </c>
      <c r="D28" s="287"/>
      <c r="E28" s="287"/>
      <c r="F28" s="287"/>
      <c r="G28" s="28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zoomScale="88" zoomScaleNormal="88" workbookViewId="0" topLeftCell="A40">
      <selection activeCell="A48" sqref="A48"/>
    </sheetView>
  </sheetViews>
  <sheetFormatPr defaultColWidth="9.140625" defaultRowHeight="12.75"/>
  <cols>
    <col min="1" max="1" width="12.7109375" style="0" customWidth="1"/>
    <col min="2" max="2" width="19.7109375" style="0" customWidth="1"/>
    <col min="3" max="3" width="44.57421875" style="0" customWidth="1"/>
    <col min="4" max="4" width="15.7109375" style="0" customWidth="1"/>
    <col min="5" max="5" width="22.8515625" style="0" customWidth="1"/>
    <col min="6" max="6" width="49.140625" style="0" customWidth="1"/>
    <col min="7" max="9" width="33.7109375" style="0" customWidth="1"/>
  </cols>
  <sheetData>
    <row r="1" spans="1:6" ht="34.5" thickBot="1">
      <c r="A1" s="101" t="s">
        <v>235</v>
      </c>
      <c r="B1" s="102"/>
      <c r="C1" s="102"/>
      <c r="D1" s="103"/>
      <c r="E1" s="103"/>
      <c r="F1" s="103"/>
    </row>
    <row r="2" ht="12.75">
      <c r="F2" t="s">
        <v>32</v>
      </c>
    </row>
    <row r="3" spans="1:5" ht="33.75">
      <c r="A3" s="38" t="s">
        <v>45</v>
      </c>
      <c r="B3" s="38"/>
      <c r="C3" s="38"/>
      <c r="D3" s="38"/>
      <c r="E3" s="38"/>
    </row>
    <row r="4" spans="1:6" ht="12.75">
      <c r="A4" s="30" t="s">
        <v>34</v>
      </c>
      <c r="B4" s="30" t="s">
        <v>35</v>
      </c>
      <c r="C4" s="30" t="s">
        <v>36</v>
      </c>
      <c r="D4" s="30" t="s">
        <v>37</v>
      </c>
      <c r="E4" s="30" t="s">
        <v>38</v>
      </c>
      <c r="F4" s="30" t="s">
        <v>39</v>
      </c>
    </row>
    <row r="5" spans="1:5" ht="12.75">
      <c r="A5">
        <v>1</v>
      </c>
      <c r="B5" t="s">
        <v>46</v>
      </c>
      <c r="C5" t="s">
        <v>47</v>
      </c>
      <c r="D5" s="27">
        <v>120000</v>
      </c>
      <c r="E5" s="27">
        <f aca="true" t="shared" si="0" ref="E5:E14">SUM(D5*A5)</f>
        <v>120000</v>
      </c>
    </row>
    <row r="6" spans="1:6" ht="12.75">
      <c r="A6">
        <v>2</v>
      </c>
      <c r="B6" t="s">
        <v>46</v>
      </c>
      <c r="C6" s="15" t="s">
        <v>48</v>
      </c>
      <c r="D6" s="27">
        <f>SolarCells!$N$5</f>
        <v>871948</v>
      </c>
      <c r="E6" s="27">
        <f t="shared" si="0"/>
        <v>1743896</v>
      </c>
      <c r="F6" t="s">
        <v>527</v>
      </c>
    </row>
    <row r="7" spans="1:5" ht="12.75">
      <c r="A7">
        <v>2</v>
      </c>
      <c r="B7" t="s">
        <v>46</v>
      </c>
      <c r="C7" s="15" t="s">
        <v>146</v>
      </c>
      <c r="D7" s="27">
        <f>'Steel and Concrete'!$D$29</f>
        <v>17482.666666666668</v>
      </c>
      <c r="E7" s="27">
        <f t="shared" si="0"/>
        <v>34965.333333333336</v>
      </c>
    </row>
    <row r="8" spans="1:6" ht="12.75">
      <c r="A8">
        <v>1</v>
      </c>
      <c r="B8" t="s">
        <v>46</v>
      </c>
      <c r="C8" s="15" t="s">
        <v>137</v>
      </c>
      <c r="D8" s="27">
        <f>'Steel and Concrete'!$E$15</f>
        <v>1336112.8</v>
      </c>
      <c r="E8" s="27">
        <f t="shared" si="0"/>
        <v>1336112.8</v>
      </c>
      <c r="F8" s="136" t="str">
        <f>SUM((E8/E15)*100)&amp;" %"&amp;" of total cost / kilometer"</f>
        <v>25.876617791188 % of total cost / kilometer</v>
      </c>
    </row>
    <row r="9" spans="1:6" ht="12.75">
      <c r="A9">
        <v>8</v>
      </c>
      <c r="B9" t="s">
        <v>46</v>
      </c>
      <c r="C9" t="s">
        <v>138</v>
      </c>
      <c r="D9" s="27">
        <v>3278</v>
      </c>
      <c r="E9" s="27">
        <f t="shared" si="0"/>
        <v>26224</v>
      </c>
      <c r="F9" t="s">
        <v>139</v>
      </c>
    </row>
    <row r="10" spans="1:6" ht="12.75">
      <c r="A10">
        <v>1</v>
      </c>
      <c r="B10" t="s">
        <v>46</v>
      </c>
      <c r="C10" t="s">
        <v>49</v>
      </c>
      <c r="D10" s="27">
        <v>16000</v>
      </c>
      <c r="E10" s="27">
        <f t="shared" si="0"/>
        <v>16000</v>
      </c>
      <c r="F10" t="s">
        <v>50</v>
      </c>
    </row>
    <row r="11" spans="1:6" ht="12.75">
      <c r="A11">
        <v>0.25</v>
      </c>
      <c r="B11" t="s">
        <v>51</v>
      </c>
      <c r="C11" t="s">
        <v>529</v>
      </c>
      <c r="D11" s="27">
        <v>1500000</v>
      </c>
      <c r="E11" s="27">
        <f t="shared" si="0"/>
        <v>375000</v>
      </c>
      <c r="F11" t="s">
        <v>52</v>
      </c>
    </row>
    <row r="12" spans="1:6" ht="12.75">
      <c r="A12">
        <v>1</v>
      </c>
      <c r="B12" t="s">
        <v>53</v>
      </c>
      <c r="C12" t="s">
        <v>54</v>
      </c>
      <c r="D12" s="27">
        <v>100000</v>
      </c>
      <c r="E12" s="27">
        <f t="shared" si="0"/>
        <v>100000</v>
      </c>
      <c r="F12" t="s">
        <v>55</v>
      </c>
    </row>
    <row r="13" spans="1:5" ht="12.75">
      <c r="A13">
        <v>1</v>
      </c>
      <c r="B13" t="s">
        <v>46</v>
      </c>
      <c r="C13" t="s">
        <v>233</v>
      </c>
      <c r="D13" s="27">
        <v>100000</v>
      </c>
      <c r="E13" s="27">
        <f t="shared" si="0"/>
        <v>100000</v>
      </c>
    </row>
    <row r="14" spans="1:6" ht="13.5" thickBot="1">
      <c r="A14" s="39">
        <v>2</v>
      </c>
      <c r="B14" s="39" t="s">
        <v>539</v>
      </c>
      <c r="C14" s="39" t="s">
        <v>56</v>
      </c>
      <c r="D14" s="40">
        <f>SUM(200*3278)</f>
        <v>655600</v>
      </c>
      <c r="E14" s="40">
        <f t="shared" si="0"/>
        <v>1311200</v>
      </c>
      <c r="F14" s="39" t="s">
        <v>540</v>
      </c>
    </row>
    <row r="15" spans="4:5" ht="13.5" thickTop="1">
      <c r="D15" s="42" t="s">
        <v>57</v>
      </c>
      <c r="E15" s="27">
        <f>SUM(E5:E14)</f>
        <v>5163398.133333333</v>
      </c>
    </row>
    <row r="16" spans="4:5" ht="12.75">
      <c r="D16" s="52" t="s">
        <v>122</v>
      </c>
      <c r="E16" s="137">
        <v>66</v>
      </c>
    </row>
    <row r="17" spans="4:5" ht="12.75">
      <c r="D17" s="52" t="s">
        <v>124</v>
      </c>
      <c r="E17" s="27">
        <f>SUM(E15/3278)</f>
        <v>1575.1672157819808</v>
      </c>
    </row>
    <row r="18" spans="4:6" ht="13.5" customHeight="1">
      <c r="D18" s="52" t="s">
        <v>123</v>
      </c>
      <c r="E18" s="27">
        <f>SUM(E15/3278)*E16</f>
        <v>103961.03624161072</v>
      </c>
      <c r="F18" t="s">
        <v>1</v>
      </c>
    </row>
    <row r="19" spans="1:3" ht="33.75">
      <c r="A19" s="38" t="s">
        <v>58</v>
      </c>
      <c r="B19" s="38"/>
      <c r="C19" s="38"/>
    </row>
    <row r="20" spans="1:6" ht="12.75">
      <c r="A20" s="30" t="s">
        <v>34</v>
      </c>
      <c r="B20" s="30" t="s">
        <v>35</v>
      </c>
      <c r="C20" s="30" t="s">
        <v>36</v>
      </c>
      <c r="D20" s="30" t="s">
        <v>37</v>
      </c>
      <c r="E20" s="30" t="s">
        <v>38</v>
      </c>
      <c r="F20" s="30" t="s">
        <v>39</v>
      </c>
    </row>
    <row r="21" spans="1:5" ht="12.75">
      <c r="A21">
        <v>0</v>
      </c>
      <c r="B21" t="s">
        <v>59</v>
      </c>
      <c r="C21" t="s">
        <v>60</v>
      </c>
      <c r="D21" s="138">
        <v>8000000</v>
      </c>
      <c r="E21" s="27">
        <f>SUM(D21*A21)</f>
        <v>0</v>
      </c>
    </row>
    <row r="22" spans="1:5" ht="12.75">
      <c r="A22">
        <v>0</v>
      </c>
      <c r="B22" t="s">
        <v>59</v>
      </c>
      <c r="C22" t="s">
        <v>372</v>
      </c>
      <c r="D22" s="138">
        <v>3000000</v>
      </c>
      <c r="E22" s="27">
        <f>SUM(D22*A22)</f>
        <v>0</v>
      </c>
    </row>
    <row r="23" spans="1:5" ht="12.75">
      <c r="A23">
        <v>0</v>
      </c>
      <c r="B23" t="s">
        <v>59</v>
      </c>
      <c r="C23" t="s">
        <v>537</v>
      </c>
      <c r="D23" s="138">
        <v>2000000</v>
      </c>
      <c r="E23" s="27">
        <f>SUM(D23*A23)</f>
        <v>0</v>
      </c>
    </row>
    <row r="24" spans="1:5" ht="12.75">
      <c r="A24">
        <v>0</v>
      </c>
      <c r="B24" t="s">
        <v>46</v>
      </c>
      <c r="C24" t="s">
        <v>61</v>
      </c>
      <c r="D24" s="142">
        <f>$E$15</f>
        <v>5163398.133333333</v>
      </c>
      <c r="E24" s="27">
        <f>SUM(D24*A24)</f>
        <v>0</v>
      </c>
    </row>
    <row r="25" spans="1:6" ht="13.5" thickBot="1">
      <c r="A25" s="39">
        <v>0</v>
      </c>
      <c r="B25" s="39" t="s">
        <v>59</v>
      </c>
      <c r="C25" s="39" t="s">
        <v>531</v>
      </c>
      <c r="D25" s="139">
        <v>1000000</v>
      </c>
      <c r="E25" s="40">
        <f>SUM(D25*A25)</f>
        <v>0</v>
      </c>
      <c r="F25" s="39"/>
    </row>
    <row r="26" ht="13.5" thickTop="1">
      <c r="E26" s="27">
        <f>SUM(E21:E25)</f>
        <v>0</v>
      </c>
    </row>
    <row r="27" ht="12.75">
      <c r="E27" s="27"/>
    </row>
    <row r="28" spans="1:5" ht="33">
      <c r="A28" s="1" t="s">
        <v>62</v>
      </c>
      <c r="B28" s="1"/>
      <c r="C28" s="1"/>
      <c r="D28" s="1"/>
      <c r="E28" s="27"/>
    </row>
    <row r="29" spans="1:6" ht="12.75">
      <c r="A29" s="30" t="s">
        <v>34</v>
      </c>
      <c r="B29" s="30" t="s">
        <v>35</v>
      </c>
      <c r="C29" s="30" t="s">
        <v>36</v>
      </c>
      <c r="D29" s="30" t="s">
        <v>37</v>
      </c>
      <c r="E29" s="30" t="s">
        <v>38</v>
      </c>
      <c r="F29" s="30" t="s">
        <v>39</v>
      </c>
    </row>
    <row r="30" spans="1:5" ht="12.75">
      <c r="A30">
        <v>0</v>
      </c>
      <c r="B30" t="s">
        <v>59</v>
      </c>
      <c r="C30" t="s">
        <v>63</v>
      </c>
      <c r="D30" s="141">
        <v>1000000</v>
      </c>
      <c r="E30" s="27">
        <f>SUM(D30*A30)</f>
        <v>0</v>
      </c>
    </row>
    <row r="31" spans="1:5" ht="12.75">
      <c r="A31">
        <v>0</v>
      </c>
      <c r="B31" t="s">
        <v>59</v>
      </c>
      <c r="C31" t="s">
        <v>64</v>
      </c>
      <c r="D31" s="141">
        <v>500000</v>
      </c>
      <c r="E31" s="27">
        <f>SUM(D31*A31)</f>
        <v>0</v>
      </c>
    </row>
    <row r="32" spans="1:5" ht="12.75">
      <c r="A32">
        <v>0</v>
      </c>
      <c r="B32" t="s">
        <v>59</v>
      </c>
      <c r="C32" t="s">
        <v>65</v>
      </c>
      <c r="D32" s="141">
        <v>300000</v>
      </c>
      <c r="E32" s="27">
        <f>SUM(D32*A32)</f>
        <v>0</v>
      </c>
    </row>
    <row r="33" ht="12.75">
      <c r="E33" s="27"/>
    </row>
    <row r="34" ht="12.75">
      <c r="E34" s="27"/>
    </row>
    <row r="35" ht="12.75">
      <c r="E35" s="27"/>
    </row>
    <row r="36" spans="1:6" ht="33.75">
      <c r="A36" s="99" t="s">
        <v>234</v>
      </c>
      <c r="B36" s="38"/>
      <c r="C36" s="38"/>
      <c r="D36" s="38"/>
      <c r="E36" s="38"/>
      <c r="F36" s="38"/>
    </row>
    <row r="37" spans="1:6" ht="12.75">
      <c r="A37" s="30" t="s">
        <v>34</v>
      </c>
      <c r="B37" s="30" t="s">
        <v>35</v>
      </c>
      <c r="C37" s="30" t="s">
        <v>36</v>
      </c>
      <c r="D37" s="30" t="s">
        <v>37</v>
      </c>
      <c r="E37" s="30" t="s">
        <v>38</v>
      </c>
      <c r="F37" s="30" t="s">
        <v>39</v>
      </c>
    </row>
    <row r="38" spans="1:5" ht="12.75">
      <c r="A38" s="291">
        <v>289.855</v>
      </c>
      <c r="B38" t="s">
        <v>46</v>
      </c>
      <c r="C38" s="112" t="s">
        <v>848</v>
      </c>
      <c r="D38" s="140">
        <f>$E$15</f>
        <v>5163398.133333333</v>
      </c>
      <c r="E38" s="27">
        <f aca="true" t="shared" si="1" ref="E38:E49">SUM(D38*A38)</f>
        <v>1496636765.9373333</v>
      </c>
    </row>
    <row r="39" spans="1:5" ht="12.75">
      <c r="A39" s="246">
        <v>0</v>
      </c>
      <c r="B39" t="s">
        <v>46</v>
      </c>
      <c r="C39" s="112"/>
      <c r="D39" s="140">
        <f>$E$15</f>
        <v>5163398.133333333</v>
      </c>
      <c r="E39" s="27"/>
    </row>
    <row r="40" spans="1:5" ht="12.75">
      <c r="A40" s="246">
        <v>0</v>
      </c>
      <c r="B40" t="s">
        <v>46</v>
      </c>
      <c r="C40" s="112"/>
      <c r="D40" s="140">
        <f>$E$15</f>
        <v>5163398.133333333</v>
      </c>
      <c r="E40" s="27"/>
    </row>
    <row r="41" spans="1:5" ht="12.75">
      <c r="A41" s="246">
        <v>0</v>
      </c>
      <c r="B41" t="s">
        <v>59</v>
      </c>
      <c r="C41" t="s">
        <v>60</v>
      </c>
      <c r="D41" s="27">
        <f>$D$21</f>
        <v>8000000</v>
      </c>
      <c r="E41" s="27">
        <f t="shared" si="1"/>
        <v>0</v>
      </c>
    </row>
    <row r="42" spans="1:5" ht="12.75">
      <c r="A42" s="246">
        <v>60</v>
      </c>
      <c r="B42" t="str">
        <f>B22</f>
        <v>Each</v>
      </c>
      <c r="C42" t="str">
        <f>C22</f>
        <v>Cloverleaf Stations "Traveler Station"</v>
      </c>
      <c r="D42" s="27">
        <f>D22</f>
        <v>3000000</v>
      </c>
      <c r="E42" s="27">
        <f t="shared" si="1"/>
        <v>180000000</v>
      </c>
    </row>
    <row r="43" spans="1:5" ht="12.75">
      <c r="A43" s="246">
        <v>0</v>
      </c>
      <c r="B43" t="str">
        <f>B24</f>
        <v>Kilometer</v>
      </c>
      <c r="C43" t="str">
        <f>C24</f>
        <v>Sidetrack to Local Public Station (1Kilometer)</v>
      </c>
      <c r="D43" s="27">
        <f>D24</f>
        <v>5163398.133333333</v>
      </c>
      <c r="E43" s="27">
        <f>SUM(D43*A43)</f>
        <v>0</v>
      </c>
    </row>
    <row r="44" spans="1:5" ht="12.75">
      <c r="A44" s="246">
        <v>60</v>
      </c>
      <c r="B44" t="s">
        <v>59</v>
      </c>
      <c r="C44" t="str">
        <f>C23</f>
        <v>Car Ramp for Car Ferry w/ Parking Structure</v>
      </c>
      <c r="D44" s="27">
        <f>D23</f>
        <v>2000000</v>
      </c>
      <c r="E44" s="27">
        <f t="shared" si="1"/>
        <v>120000000</v>
      </c>
    </row>
    <row r="45" spans="1:5" ht="12.75">
      <c r="A45" s="246">
        <v>0</v>
      </c>
      <c r="B45" t="s">
        <v>59</v>
      </c>
      <c r="C45" t="str">
        <f>C25</f>
        <v>Remote Public Station, and parking (Private Land)</v>
      </c>
      <c r="D45" s="27">
        <f>SUM(D25)</f>
        <v>1000000</v>
      </c>
      <c r="E45" s="27">
        <f t="shared" si="1"/>
        <v>0</v>
      </c>
    </row>
    <row r="46" spans="1:5" ht="12.75">
      <c r="A46" s="246">
        <v>0</v>
      </c>
      <c r="B46" t="s">
        <v>59</v>
      </c>
      <c r="C46" t="s">
        <v>63</v>
      </c>
      <c r="D46" s="27">
        <f>$D$30</f>
        <v>1000000</v>
      </c>
      <c r="E46" s="27">
        <f t="shared" si="1"/>
        <v>0</v>
      </c>
    </row>
    <row r="47" spans="1:5" ht="12.75">
      <c r="A47" s="246">
        <v>350</v>
      </c>
      <c r="B47" t="s">
        <v>59</v>
      </c>
      <c r="C47" t="s">
        <v>538</v>
      </c>
      <c r="D47" s="27">
        <f>$D$31</f>
        <v>500000</v>
      </c>
      <c r="E47" s="27">
        <f t="shared" si="1"/>
        <v>175000000</v>
      </c>
    </row>
    <row r="48" spans="1:5" ht="12.75">
      <c r="A48" s="246">
        <v>100</v>
      </c>
      <c r="B48" t="s">
        <v>59</v>
      </c>
      <c r="C48" t="s">
        <v>536</v>
      </c>
      <c r="D48" s="27">
        <v>300000</v>
      </c>
      <c r="E48" s="27"/>
    </row>
    <row r="49" spans="1:5" ht="13.5" thickBot="1">
      <c r="A49" s="247">
        <v>100</v>
      </c>
      <c r="B49" s="39" t="s">
        <v>59</v>
      </c>
      <c r="C49" s="39" t="s">
        <v>65</v>
      </c>
      <c r="D49" s="40">
        <f>$D$32</f>
        <v>300000</v>
      </c>
      <c r="E49" s="40">
        <f t="shared" si="1"/>
        <v>30000000</v>
      </c>
    </row>
    <row r="50" spans="1:5" ht="13.5" thickTop="1">
      <c r="A50">
        <f>SUM(A46+A47)</f>
        <v>350</v>
      </c>
      <c r="B50" t="s">
        <v>66</v>
      </c>
      <c r="C50" s="292" t="s">
        <v>67</v>
      </c>
      <c r="D50" s="292"/>
      <c r="E50" s="44">
        <f>SUM(E38:E49)</f>
        <v>2001636765.9373333</v>
      </c>
    </row>
    <row r="51" spans="1:6" ht="12.75">
      <c r="A51">
        <f>$A$49</f>
        <v>100</v>
      </c>
      <c r="B51" t="s">
        <v>68</v>
      </c>
      <c r="C51" s="150"/>
      <c r="D51" s="257" t="str">
        <f>CONCATENATE("Cost of Steel at ",'Steel and Concrete'!C34," dollars per ton"," at ",'Steel and Concrete'!D34," tons per section")</f>
        <v>Cost of Steel at 800 dollars per ton at 30 tons per section</v>
      </c>
      <c r="E51" s="258">
        <f>'Steel and Concrete'!$K$34</f>
        <v>380159904.96</v>
      </c>
      <c r="F51" s="256">
        <f>SUM(E51/E52)</f>
        <v>0.23445287078032145</v>
      </c>
    </row>
    <row r="52" spans="1:6" ht="12.75">
      <c r="A52" s="249">
        <f>SUM(A41+A42+A44)</f>
        <v>120</v>
      </c>
      <c r="B52" t="s">
        <v>255</v>
      </c>
      <c r="C52" s="150"/>
      <c r="D52" s="150" t="s">
        <v>604</v>
      </c>
      <c r="E52" s="44">
        <f>SUM(E50-E51)</f>
        <v>1621476860.9773333</v>
      </c>
      <c r="F52" s="256">
        <f>SUM(E52/E50)</f>
        <v>0.8100754785137165</v>
      </c>
    </row>
    <row r="53" spans="1:5" ht="12.75">
      <c r="A53" s="197">
        <f>SUM(A38+A39+A40+A43)</f>
        <v>289.855</v>
      </c>
      <c r="B53" t="s">
        <v>257</v>
      </c>
      <c r="C53" s="150"/>
      <c r="D53" s="150"/>
      <c r="E53" s="44"/>
    </row>
    <row r="54" spans="1:2" ht="12.75">
      <c r="A54" s="290">
        <f>SUM(A53*0.621)</f>
        <v>179.999955</v>
      </c>
      <c r="B54" s="18" t="s">
        <v>256</v>
      </c>
    </row>
    <row r="55" spans="1:2" ht="12.75">
      <c r="A55" s="251">
        <f>SUM(A52/2)/A54</f>
        <v>0.3333334166666875</v>
      </c>
      <c r="B55" s="18" t="s">
        <v>535</v>
      </c>
    </row>
    <row r="56" spans="1:5" ht="12.75">
      <c r="A56" s="250">
        <f>SUM(A50+A51+A48)/A54</f>
        <v>3.0555563194446353</v>
      </c>
      <c r="B56" s="45" t="s">
        <v>263</v>
      </c>
      <c r="C56" s="45"/>
      <c r="D56" s="45"/>
      <c r="E56" s="46"/>
    </row>
    <row r="58" spans="5:6" ht="23.25">
      <c r="E58" s="47" t="s">
        <v>602</v>
      </c>
      <c r="F58" s="48">
        <f>SUM(E50/(A38+A39+A40+A43))</f>
        <v>6905648.568895942</v>
      </c>
    </row>
    <row r="59" spans="5:6" ht="23.25">
      <c r="E59" s="47" t="s">
        <v>603</v>
      </c>
      <c r="F59" s="48">
        <f>SUM(E50/A54)</f>
        <v>11120207.035259167</v>
      </c>
    </row>
    <row r="60" spans="2:4" ht="12.75">
      <c r="B60" s="52"/>
      <c r="C60" s="43" t="s">
        <v>373</v>
      </c>
      <c r="D60" s="52"/>
    </row>
    <row r="61" spans="2:5" ht="12.75">
      <c r="B61" s="67" t="s">
        <v>36</v>
      </c>
      <c r="C61" s="30" t="s">
        <v>104</v>
      </c>
      <c r="D61" s="30" t="s">
        <v>38</v>
      </c>
      <c r="E61" s="30" t="s">
        <v>35</v>
      </c>
    </row>
    <row r="62" spans="2:5" ht="12.75">
      <c r="B62" s="52" t="s">
        <v>105</v>
      </c>
      <c r="C62" s="68">
        <v>5</v>
      </c>
      <c r="D62" s="52">
        <f>SUM(C62*1.609)</f>
        <v>8.045</v>
      </c>
      <c r="E62" s="69" t="s">
        <v>78</v>
      </c>
    </row>
    <row r="63" spans="2:6" ht="12.75">
      <c r="B63" s="52" t="s">
        <v>106</v>
      </c>
      <c r="C63" s="70">
        <v>4</v>
      </c>
      <c r="D63" s="52">
        <f>SUM(C63*0.621)</f>
        <v>2.484</v>
      </c>
      <c r="E63" s="69" t="s">
        <v>19</v>
      </c>
      <c r="F63" s="15" t="s">
        <v>363</v>
      </c>
    </row>
  </sheetData>
  <sheetProtection/>
  <mergeCells count="1">
    <mergeCell ref="C50:D50"/>
  </mergeCells>
  <hyperlinks>
    <hyperlink ref="C6" location="SolarCells!A1" display="Solar Panel 72&quot; wide x  1 Kilometer long."/>
    <hyperlink ref="C7" location="'Steel and Concrete'!A1" display="Concrete 3'x3' x 12' concrete Piers"/>
    <hyperlink ref="C8" location="'Steel and Concrete'!A1" display="Steel for Rail Tubing  / Stanchion / Central Support"/>
    <hyperlink ref="F63" location="Cost_per_Mile_lock__stock__and_barrell" display="#Cost_per_Mile_lock__stock__and_barrell"/>
    <hyperlink ref="D51" location="Typical_Costs_for_Steel_per_ton" display="Typical_Costs_for_Steel_per_ton"/>
    <hyperlink ref="E51" location="Total_cost_Steel_per_ton" display="Total_cost_Steel_per_ton"/>
  </hyperlinks>
  <printOptions/>
  <pageMargins left="0.75" right="0.75" top="1" bottom="1" header="0.5" footer="0.5"/>
  <pageSetup fitToHeight="1" fitToWidth="1" horizontalDpi="600" verticalDpi="600" orientation="portrait" scale="78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zoomScale="75" zoomScaleNormal="75" workbookViewId="0" topLeftCell="A71">
      <selection activeCell="D97" sqref="D97"/>
    </sheetView>
  </sheetViews>
  <sheetFormatPr defaultColWidth="9.140625" defaultRowHeight="12.75"/>
  <cols>
    <col min="1" max="1" width="10.57421875" style="0" customWidth="1"/>
    <col min="2" max="2" width="60.57421875" style="0" customWidth="1"/>
    <col min="3" max="4" width="28.8515625" style="0" customWidth="1"/>
    <col min="5" max="5" width="37.57421875" style="0" customWidth="1"/>
    <col min="6" max="6" width="24.7109375" style="0" customWidth="1"/>
    <col min="7" max="7" width="0" style="0" hidden="1" customWidth="1"/>
    <col min="8" max="9" width="15.00390625" style="0" hidden="1" customWidth="1"/>
    <col min="10" max="10" width="0" style="0" hidden="1" customWidth="1"/>
  </cols>
  <sheetData>
    <row r="1" ht="27.75" customHeight="1">
      <c r="A1" s="1" t="s">
        <v>180</v>
      </c>
    </row>
    <row r="2" spans="1:5" ht="24.75" customHeight="1">
      <c r="A2" s="104"/>
      <c r="B2" s="1"/>
      <c r="C2" s="77" t="s">
        <v>121</v>
      </c>
      <c r="D2" s="78"/>
      <c r="E2" s="79"/>
    </row>
    <row r="4" ht="24" thickBot="1">
      <c r="A4" s="6" t="s">
        <v>0</v>
      </c>
    </row>
    <row r="5" spans="2:5" ht="12.75">
      <c r="B5" s="8" t="s">
        <v>9</v>
      </c>
      <c r="C5" s="98">
        <v>0</v>
      </c>
      <c r="E5" s="9"/>
    </row>
    <row r="6" spans="1:5" ht="20.25">
      <c r="A6" s="49" t="s">
        <v>69</v>
      </c>
      <c r="B6" s="49"/>
      <c r="C6" s="49"/>
      <c r="D6" s="49"/>
      <c r="E6" s="50"/>
    </row>
    <row r="7" spans="2:3" ht="12.75">
      <c r="B7" s="199" t="s">
        <v>365</v>
      </c>
      <c r="C7" s="195">
        <f>'Costs per kilometer'!$A$53</f>
        <v>289.855</v>
      </c>
    </row>
    <row r="8" spans="1:3" ht="13.5" thickBot="1">
      <c r="A8" s="12"/>
      <c r="B8" s="199" t="s">
        <v>364</v>
      </c>
      <c r="C8" s="198">
        <f>'Costs per kilometer'!$A$54</f>
        <v>179.999955</v>
      </c>
    </row>
    <row r="9" spans="1:3" ht="18.75">
      <c r="A9" s="12"/>
      <c r="B9" s="207" t="s">
        <v>386</v>
      </c>
      <c r="C9" s="208">
        <v>5</v>
      </c>
    </row>
    <row r="10" spans="1:3" ht="19.5" thickBot="1">
      <c r="A10" s="196" t="s">
        <v>10</v>
      </c>
      <c r="B10" s="207" t="s">
        <v>387</v>
      </c>
      <c r="C10" s="209">
        <v>10</v>
      </c>
    </row>
    <row r="11" spans="1:4" ht="15">
      <c r="A11" s="88">
        <v>1</v>
      </c>
      <c r="B11" t="s">
        <v>11</v>
      </c>
      <c r="C11" s="97">
        <v>0.32</v>
      </c>
      <c r="D11" t="s">
        <v>12</v>
      </c>
    </row>
    <row r="12" spans="1:4" ht="15.75" thickBot="1">
      <c r="A12" s="88">
        <v>2</v>
      </c>
      <c r="B12" t="s">
        <v>13</v>
      </c>
      <c r="C12" s="96">
        <v>0</v>
      </c>
      <c r="D12" t="s">
        <v>14</v>
      </c>
    </row>
    <row r="13" spans="1:4" ht="16.5" customHeight="1">
      <c r="A13" s="88">
        <v>3</v>
      </c>
      <c r="B13" s="14" t="s">
        <v>70</v>
      </c>
      <c r="C13" s="143">
        <f>'Costs per kilometer'!$A$50</f>
        <v>350</v>
      </c>
      <c r="D13" s="15" t="s">
        <v>15</v>
      </c>
    </row>
    <row r="14" spans="1:4" ht="16.5" customHeight="1" thickBot="1">
      <c r="A14" s="88">
        <v>4</v>
      </c>
      <c r="B14" s="14" t="s">
        <v>128</v>
      </c>
      <c r="C14" s="143">
        <f>'Costs per kilometer'!$A$51</f>
        <v>100</v>
      </c>
      <c r="D14" s="15" t="s">
        <v>15</v>
      </c>
    </row>
    <row r="15" spans="1:5" ht="16.5" customHeight="1" thickBot="1">
      <c r="A15" s="88">
        <v>5</v>
      </c>
      <c r="B15" s="14" t="s">
        <v>190</v>
      </c>
      <c r="C15" s="110">
        <v>5000</v>
      </c>
      <c r="D15" s="16" t="s">
        <v>191</v>
      </c>
      <c r="E15" s="82"/>
    </row>
    <row r="16" spans="1:5" ht="16.5" customHeight="1">
      <c r="A16" s="88">
        <v>6</v>
      </c>
      <c r="B16" s="14" t="s">
        <v>193</v>
      </c>
      <c r="C16" s="111">
        <v>8.25E-05</v>
      </c>
      <c r="D16" s="122" t="s">
        <v>205</v>
      </c>
      <c r="E16" s="121"/>
    </row>
    <row r="17" spans="1:5" ht="16.5" customHeight="1" thickBot="1">
      <c r="A17" s="88">
        <v>7</v>
      </c>
      <c r="B17" s="14" t="s">
        <v>192</v>
      </c>
      <c r="C17" s="81">
        <f>SUM(C16*C15)</f>
        <v>0.4125</v>
      </c>
      <c r="D17" s="16"/>
      <c r="E17" s="82"/>
    </row>
    <row r="18" spans="1:5" ht="16.5" customHeight="1" thickBot="1">
      <c r="A18" s="88">
        <v>8</v>
      </c>
      <c r="B18" s="13" t="s">
        <v>16</v>
      </c>
      <c r="C18" s="81">
        <f>SUM(C11)-(C11*C12)</f>
        <v>0.32</v>
      </c>
      <c r="D18" s="16" t="s">
        <v>129</v>
      </c>
      <c r="E18" s="83"/>
    </row>
    <row r="19" spans="1:5" ht="16.5" customHeight="1" thickBot="1">
      <c r="A19" s="88">
        <v>9</v>
      </c>
      <c r="B19" s="13" t="s">
        <v>17</v>
      </c>
      <c r="C19" s="95">
        <v>60</v>
      </c>
      <c r="D19" s="13" t="s">
        <v>18</v>
      </c>
      <c r="E19" s="84"/>
    </row>
    <row r="20" spans="1:5" ht="16.5" customHeight="1" thickBot="1">
      <c r="A20" s="88">
        <v>10</v>
      </c>
      <c r="B20" s="13" t="s">
        <v>71</v>
      </c>
      <c r="C20" s="35">
        <v>40</v>
      </c>
      <c r="D20" s="13"/>
      <c r="E20" s="84"/>
    </row>
    <row r="21" spans="1:5" ht="16.5" customHeight="1" thickBot="1">
      <c r="A21" s="88">
        <v>11</v>
      </c>
      <c r="B21" s="13" t="s">
        <v>206</v>
      </c>
      <c r="C21" s="123">
        <v>20</v>
      </c>
      <c r="D21" s="13" t="s">
        <v>19</v>
      </c>
      <c r="E21" s="82"/>
    </row>
    <row r="22" spans="1:5" ht="16.5" customHeight="1" thickBot="1">
      <c r="A22" s="88">
        <v>12</v>
      </c>
      <c r="B22" s="87" t="s">
        <v>207</v>
      </c>
      <c r="C22" s="124">
        <v>60</v>
      </c>
      <c r="D22" s="87" t="s">
        <v>19</v>
      </c>
      <c r="E22" s="82"/>
    </row>
    <row r="23" spans="1:5" ht="16.5" customHeight="1" thickBot="1">
      <c r="A23" s="88">
        <v>13</v>
      </c>
      <c r="B23" s="20" t="s">
        <v>20</v>
      </c>
      <c r="C23" s="94">
        <v>200</v>
      </c>
      <c r="D23" s="13" t="s">
        <v>21</v>
      </c>
      <c r="E23" s="82"/>
    </row>
    <row r="24" spans="1:5" ht="16.5" customHeight="1" thickBot="1">
      <c r="A24" s="88">
        <v>14</v>
      </c>
      <c r="B24" s="125" t="s">
        <v>212</v>
      </c>
      <c r="C24" s="124">
        <v>200</v>
      </c>
      <c r="D24" s="125" t="s">
        <v>213</v>
      </c>
      <c r="E24" s="82"/>
    </row>
    <row r="25" spans="1:5" ht="16.5" customHeight="1">
      <c r="A25" s="88">
        <v>15</v>
      </c>
      <c r="B25" s="13" t="s">
        <v>208</v>
      </c>
      <c r="C25" s="21">
        <f>SUM($C$21/$C$23)</f>
        <v>0.1</v>
      </c>
      <c r="D25" s="22" t="s">
        <v>22</v>
      </c>
      <c r="E25" s="82"/>
    </row>
    <row r="26" spans="1:5" ht="16.5" customHeight="1">
      <c r="A26" s="88">
        <v>16</v>
      </c>
      <c r="B26" s="13" t="s">
        <v>209</v>
      </c>
      <c r="C26" s="21">
        <f>SUM(60*$C$25)</f>
        <v>6</v>
      </c>
      <c r="D26" s="13" t="s">
        <v>72</v>
      </c>
      <c r="E26" s="82"/>
    </row>
    <row r="27" spans="1:5" ht="16.5" customHeight="1">
      <c r="A27" s="88">
        <v>17</v>
      </c>
      <c r="B27" s="87" t="s">
        <v>215</v>
      </c>
      <c r="C27" s="21">
        <f>SUM(C21/50)*60</f>
        <v>24</v>
      </c>
      <c r="D27" s="87" t="s">
        <v>72</v>
      </c>
      <c r="E27" s="82"/>
    </row>
    <row r="28" spans="1:5" ht="16.5" customHeight="1">
      <c r="A28" s="88">
        <v>18</v>
      </c>
      <c r="B28" s="87" t="s">
        <v>147</v>
      </c>
      <c r="C28" s="21">
        <f>SUM(C27-C26)</f>
        <v>18</v>
      </c>
      <c r="D28" s="87" t="s">
        <v>217</v>
      </c>
      <c r="E28" s="82"/>
    </row>
    <row r="29" spans="1:5" ht="16.5" customHeight="1" thickBot="1">
      <c r="A29" s="88">
        <v>19</v>
      </c>
      <c r="B29" s="125" t="s">
        <v>148</v>
      </c>
      <c r="C29" s="126">
        <f>SUM(20*(C28/60))</f>
        <v>6</v>
      </c>
      <c r="D29" s="125" t="s">
        <v>218</v>
      </c>
      <c r="E29" s="82"/>
    </row>
    <row r="30" spans="1:5" ht="16.5" customHeight="1">
      <c r="A30" s="88">
        <v>20</v>
      </c>
      <c r="B30" s="13" t="s">
        <v>210</v>
      </c>
      <c r="C30" s="21">
        <f>SUM(C22/C24)</f>
        <v>0.3</v>
      </c>
      <c r="D30" s="87" t="s">
        <v>22</v>
      </c>
      <c r="E30" s="82"/>
    </row>
    <row r="31" spans="1:5" ht="16.5" customHeight="1">
      <c r="A31" s="88">
        <v>21</v>
      </c>
      <c r="B31" s="13" t="s">
        <v>211</v>
      </c>
      <c r="C31" s="21">
        <f>SUM(60*$C$30)</f>
        <v>18</v>
      </c>
      <c r="D31" s="87" t="s">
        <v>72</v>
      </c>
      <c r="E31" s="82"/>
    </row>
    <row r="32" spans="1:5" ht="16.5" customHeight="1">
      <c r="A32" s="88">
        <v>22</v>
      </c>
      <c r="B32" s="87" t="s">
        <v>216</v>
      </c>
      <c r="C32" s="21">
        <f>SUM(C22/50)*60</f>
        <v>72</v>
      </c>
      <c r="D32" s="87" t="s">
        <v>72</v>
      </c>
      <c r="E32" s="82"/>
    </row>
    <row r="33" spans="1:5" ht="16.5" customHeight="1">
      <c r="A33" s="88">
        <v>23</v>
      </c>
      <c r="B33" s="13" t="s">
        <v>214</v>
      </c>
      <c r="C33" s="21">
        <f>SUM(C32-C31)</f>
        <v>54</v>
      </c>
      <c r="D33" s="87" t="s">
        <v>217</v>
      </c>
      <c r="E33" s="82"/>
    </row>
    <row r="34" spans="1:5" ht="16.5" customHeight="1" thickBot="1">
      <c r="A34" s="88">
        <v>24</v>
      </c>
      <c r="B34" s="127" t="s">
        <v>148</v>
      </c>
      <c r="C34" s="126">
        <f>SUM(C33/60)*20</f>
        <v>18</v>
      </c>
      <c r="D34" s="125" t="s">
        <v>218</v>
      </c>
      <c r="E34" s="82"/>
    </row>
    <row r="35" spans="1:5" s="188" customFormat="1" ht="16.5" customHeight="1">
      <c r="A35" s="187">
        <v>25</v>
      </c>
      <c r="B35" s="200" t="s">
        <v>362</v>
      </c>
      <c r="C35" s="191">
        <f>SUM(C19*C13)*(1440/$C$26)</f>
        <v>5040000</v>
      </c>
      <c r="E35" s="189"/>
    </row>
    <row r="36" spans="1:5" s="188" customFormat="1" ht="16.5" customHeight="1" thickBot="1">
      <c r="A36" s="88">
        <v>26</v>
      </c>
      <c r="B36" s="200" t="s">
        <v>360</v>
      </c>
      <c r="C36" s="192">
        <v>0.25</v>
      </c>
      <c r="E36" s="189"/>
    </row>
    <row r="37" spans="1:5" s="188" customFormat="1" ht="16.5" customHeight="1">
      <c r="A37" s="88">
        <v>27</v>
      </c>
      <c r="B37" s="200" t="s">
        <v>361</v>
      </c>
      <c r="C37" s="190">
        <f>SUM(C35*C36)</f>
        <v>1260000</v>
      </c>
      <c r="E37" s="189"/>
    </row>
    <row r="38" spans="1:5" s="188" customFormat="1" ht="16.5" customHeight="1">
      <c r="A38" s="88"/>
      <c r="B38" s="200" t="s">
        <v>383</v>
      </c>
      <c r="C38" s="191">
        <f>SUM(C14)*(1440/$C$26)</f>
        <v>24000</v>
      </c>
      <c r="E38" s="189"/>
    </row>
    <row r="39" spans="1:5" s="188" customFormat="1" ht="16.5" customHeight="1" thickBot="1">
      <c r="A39" s="88"/>
      <c r="B39" s="200" t="s">
        <v>384</v>
      </c>
      <c r="C39" s="192">
        <v>0.8</v>
      </c>
      <c r="E39" s="189"/>
    </row>
    <row r="40" spans="1:5" s="188" customFormat="1" ht="16.5" customHeight="1">
      <c r="A40" s="88"/>
      <c r="B40" s="200" t="s">
        <v>385</v>
      </c>
      <c r="C40" s="190">
        <f>SUM(C39*C38)</f>
        <v>19200</v>
      </c>
      <c r="E40" s="189"/>
    </row>
    <row r="41" spans="1:5" ht="16.5" customHeight="1">
      <c r="A41" s="187">
        <v>28</v>
      </c>
      <c r="B41" t="s">
        <v>195</v>
      </c>
      <c r="C41" s="76">
        <f>SUM(C14*C15)*(1440/C31)</f>
        <v>40000000</v>
      </c>
      <c r="D41" s="23"/>
      <c r="E41" s="84"/>
    </row>
    <row r="42" spans="1:5" ht="16.5" customHeight="1">
      <c r="A42" s="88">
        <v>29</v>
      </c>
      <c r="B42" s="13" t="s">
        <v>381</v>
      </c>
      <c r="C42" s="130">
        <f>SUM($C$18*$C$21)</f>
        <v>6.4</v>
      </c>
      <c r="D42" s="129" t="s">
        <v>194</v>
      </c>
      <c r="E42" s="82"/>
    </row>
    <row r="43" spans="1:5" ht="16.5" customHeight="1">
      <c r="A43" s="88">
        <v>30</v>
      </c>
      <c r="B43" s="129" t="s">
        <v>382</v>
      </c>
      <c r="C43" s="128">
        <f>SUM($C$17*$C$22)</f>
        <v>24.75</v>
      </c>
      <c r="D43" s="129" t="s">
        <v>194</v>
      </c>
      <c r="E43" s="82"/>
    </row>
    <row r="44" spans="1:5" ht="16.5" customHeight="1">
      <c r="A44" s="187">
        <v>31</v>
      </c>
      <c r="B44" t="s">
        <v>24</v>
      </c>
      <c r="C44" s="18">
        <f>SUM(C23*24)</f>
        <v>4800</v>
      </c>
      <c r="D44" s="131"/>
      <c r="E44" s="84"/>
    </row>
    <row r="45" spans="1:5" ht="16.5" customHeight="1">
      <c r="A45" s="88">
        <v>32</v>
      </c>
      <c r="B45" t="s">
        <v>25</v>
      </c>
      <c r="C45" s="18">
        <f>SUM(C23*24)*C13</f>
        <v>1680000</v>
      </c>
      <c r="D45" s="131"/>
      <c r="E45" s="84"/>
    </row>
    <row r="46" spans="1:5" ht="16.5" customHeight="1" thickBot="1">
      <c r="A46" s="88">
        <v>33</v>
      </c>
      <c r="B46" s="35" t="s">
        <v>200</v>
      </c>
      <c r="C46" s="35">
        <f>SUM(C13*C19)</f>
        <v>21000</v>
      </c>
      <c r="D46" s="35" t="s">
        <v>26</v>
      </c>
      <c r="E46" s="82"/>
    </row>
    <row r="47" spans="1:5" ht="16.5" customHeight="1">
      <c r="A47" s="187">
        <v>34</v>
      </c>
      <c r="B47" s="13" t="s">
        <v>159</v>
      </c>
      <c r="C47" s="16">
        <f>SUM(C18*C37)</f>
        <v>403200</v>
      </c>
      <c r="D47" s="82" t="s">
        <v>23</v>
      </c>
      <c r="E47" s="82"/>
    </row>
    <row r="48" spans="1:5" ht="16.5" customHeight="1">
      <c r="A48" s="88">
        <v>35</v>
      </c>
      <c r="B48" s="13" t="s">
        <v>160</v>
      </c>
      <c r="C48" s="16">
        <f>SUM(C41*C16)</f>
        <v>3300</v>
      </c>
      <c r="D48" s="82"/>
      <c r="E48" s="82"/>
    </row>
    <row r="49" spans="1:5" s="188" customFormat="1" ht="16.5" customHeight="1">
      <c r="A49" s="88">
        <v>36</v>
      </c>
      <c r="B49" s="188" t="s">
        <v>359</v>
      </c>
      <c r="C49" s="190">
        <f>$C$37</f>
        <v>1260000</v>
      </c>
      <c r="D49" s="189"/>
      <c r="E49" s="189"/>
    </row>
    <row r="50" spans="1:5" ht="15" customHeight="1">
      <c r="A50" s="187">
        <v>37</v>
      </c>
      <c r="B50" t="s">
        <v>130</v>
      </c>
      <c r="C50" s="51">
        <f>SUM((C20-C19)*C13*(24/C25))</f>
        <v>-1680000</v>
      </c>
      <c r="D50" s="82"/>
      <c r="E50" s="82"/>
    </row>
    <row r="51" spans="1:5" ht="15" customHeight="1">
      <c r="A51" s="88">
        <v>38</v>
      </c>
      <c r="B51" t="s">
        <v>73</v>
      </c>
      <c r="C51" s="193">
        <f>SUM(C50/(C49+C50))</f>
        <v>4</v>
      </c>
      <c r="D51" s="82"/>
      <c r="E51" s="82"/>
    </row>
    <row r="52" spans="1:5" ht="16.5" customHeight="1">
      <c r="A52" s="88">
        <v>39</v>
      </c>
      <c r="B52" t="s">
        <v>126</v>
      </c>
      <c r="C52" s="17">
        <f>SUM(C46*C18)</f>
        <v>6720</v>
      </c>
      <c r="D52" s="82" t="s">
        <v>27</v>
      </c>
      <c r="E52" s="82"/>
    </row>
    <row r="53" spans="1:5" ht="16.5" customHeight="1">
      <c r="A53" s="187">
        <v>40</v>
      </c>
      <c r="B53" s="113" t="s">
        <v>340</v>
      </c>
      <c r="C53" s="176">
        <f>SUM(C47*C18)</f>
        <v>129024</v>
      </c>
      <c r="D53" s="82" t="s">
        <v>27</v>
      </c>
      <c r="E53" s="82"/>
    </row>
    <row r="54" spans="1:5" ht="16.5" customHeight="1">
      <c r="A54" s="88">
        <v>41</v>
      </c>
      <c r="B54" s="113" t="s">
        <v>261</v>
      </c>
      <c r="C54" s="176">
        <f>SUM($C$37*$C$18)</f>
        <v>403200</v>
      </c>
      <c r="D54" s="82"/>
      <c r="E54" s="82"/>
    </row>
    <row r="55" spans="1:5" ht="16.5" customHeight="1">
      <c r="A55" s="88">
        <v>42</v>
      </c>
      <c r="B55" s="113" t="s">
        <v>262</v>
      </c>
      <c r="C55" s="176">
        <f>SUM(C18*C41)</f>
        <v>12800000</v>
      </c>
      <c r="D55" s="82"/>
      <c r="E55" s="82"/>
    </row>
    <row r="56" spans="1:5" ht="16.5" customHeight="1">
      <c r="A56" s="187">
        <v>43</v>
      </c>
      <c r="B56" s="113"/>
      <c r="C56" s="176"/>
      <c r="D56" s="82"/>
      <c r="E56" s="82"/>
    </row>
    <row r="57" spans="1:5" ht="16.5" customHeight="1">
      <c r="A57" s="88">
        <v>44</v>
      </c>
      <c r="B57" s="206" t="s">
        <v>388</v>
      </c>
      <c r="C57" s="194">
        <f>SUM(C37*C9)</f>
        <v>6300000</v>
      </c>
      <c r="E57" s="82"/>
    </row>
    <row r="58" spans="1:5" ht="16.5" customHeight="1">
      <c r="A58" s="88">
        <v>45</v>
      </c>
      <c r="B58" s="206" t="s">
        <v>389</v>
      </c>
      <c r="C58" s="194">
        <f>SUM(C57*30)</f>
        <v>189000000</v>
      </c>
      <c r="E58" s="82"/>
    </row>
    <row r="59" spans="1:5" ht="16.5" customHeight="1">
      <c r="A59" s="187">
        <v>46</v>
      </c>
      <c r="B59" s="206" t="s">
        <v>390</v>
      </c>
      <c r="C59" s="194">
        <f>SUM(C57*365)</f>
        <v>2299500000</v>
      </c>
      <c r="D59" s="108"/>
      <c r="E59" s="82"/>
    </row>
    <row r="60" spans="1:5" ht="23.25" customHeight="1">
      <c r="A60" s="88">
        <v>47</v>
      </c>
      <c r="B60" s="206" t="s">
        <v>392</v>
      </c>
      <c r="C60" s="194">
        <f>SUM(C57/'Costs per kilometer'!A54)</f>
        <v>35000.00875000219</v>
      </c>
      <c r="D60" s="108"/>
      <c r="E60" s="82"/>
    </row>
    <row r="61" spans="1:5" ht="16.5" customHeight="1">
      <c r="A61" s="88">
        <v>48</v>
      </c>
      <c r="B61" s="206" t="s">
        <v>391</v>
      </c>
      <c r="C61" s="194">
        <f>SUM(C40*C10)</f>
        <v>192000</v>
      </c>
      <c r="D61" s="82"/>
      <c r="E61" s="82"/>
    </row>
    <row r="62" spans="1:5" ht="16.5" customHeight="1">
      <c r="A62" s="187">
        <v>49</v>
      </c>
      <c r="B62" s="206" t="s">
        <v>393</v>
      </c>
      <c r="C62" s="194">
        <f>SUM(C61*30)</f>
        <v>5760000</v>
      </c>
      <c r="D62" s="82"/>
      <c r="E62" s="82"/>
    </row>
    <row r="63" spans="1:5" ht="16.5" customHeight="1">
      <c r="A63" s="187"/>
      <c r="B63" s="206" t="s">
        <v>412</v>
      </c>
      <c r="C63" s="194">
        <f>SUM(C62*12)</f>
        <v>69120000</v>
      </c>
      <c r="D63" s="82"/>
      <c r="E63" s="82"/>
    </row>
    <row r="64" spans="1:5" ht="16.5" customHeight="1">
      <c r="A64" s="187"/>
      <c r="B64" s="206" t="s">
        <v>394</v>
      </c>
      <c r="C64" s="194">
        <f>SUM(C61/'Costs per kilometer'!A54)</f>
        <v>1066.6669333334</v>
      </c>
      <c r="D64" s="82"/>
      <c r="E64" s="82"/>
    </row>
    <row r="65" spans="1:5" ht="16.5" customHeight="1">
      <c r="A65" s="187"/>
      <c r="B65" s="210" t="s">
        <v>395</v>
      </c>
      <c r="C65" s="211">
        <f>SUM(C64+C60)</f>
        <v>36066.67568333559</v>
      </c>
      <c r="D65" s="82"/>
      <c r="E65" s="82"/>
    </row>
    <row r="66" spans="1:5" ht="16.5" customHeight="1">
      <c r="A66" s="187"/>
      <c r="B66" s="210" t="s">
        <v>411</v>
      </c>
      <c r="C66" s="211">
        <f>SUM(C59+C63)</f>
        <v>2368620000</v>
      </c>
      <c r="D66" s="82"/>
      <c r="E66" s="82"/>
    </row>
    <row r="67" spans="1:5" ht="16.5" customHeight="1">
      <c r="A67" s="88">
        <v>50</v>
      </c>
      <c r="B67" s="113" t="s">
        <v>203</v>
      </c>
      <c r="C67" s="176">
        <f>SUM(C42*C16)</f>
        <v>0.000528</v>
      </c>
      <c r="E67" s="82"/>
    </row>
    <row r="68" spans="1:9" ht="16.5" customHeight="1">
      <c r="A68" s="88">
        <v>51</v>
      </c>
      <c r="B68" s="113" t="s">
        <v>125</v>
      </c>
      <c r="C68" s="176">
        <f>SUM(C54+(C54*C52))</f>
        <v>2709907200</v>
      </c>
      <c r="E68" s="82"/>
      <c r="G68">
        <v>50</v>
      </c>
      <c r="H68" s="106">
        <v>140826000</v>
      </c>
      <c r="I68" s="106">
        <f>+H68*0.7</f>
        <v>98578200</v>
      </c>
    </row>
    <row r="69" spans="1:9" ht="16.5" customHeight="1">
      <c r="A69" s="187">
        <v>52</v>
      </c>
      <c r="B69" s="177" t="s">
        <v>201</v>
      </c>
      <c r="C69" s="178">
        <f>SUM(C54+C67)</f>
        <v>403200.000528</v>
      </c>
      <c r="E69" s="82"/>
      <c r="G69">
        <v>60</v>
      </c>
      <c r="H69" s="106">
        <v>167650000</v>
      </c>
      <c r="I69" s="106">
        <f>+H69*0.7</f>
        <v>117355000</v>
      </c>
    </row>
    <row r="70" spans="1:9" ht="16.5" customHeight="1" thickBot="1">
      <c r="A70" s="88">
        <v>53</v>
      </c>
      <c r="B70" s="179" t="s">
        <v>220</v>
      </c>
      <c r="C70" s="180">
        <f>SUM(C67:C68)</f>
        <v>2709907200.000528</v>
      </c>
      <c r="D70" s="35"/>
      <c r="G70">
        <v>70</v>
      </c>
      <c r="H70" s="106">
        <v>194475000</v>
      </c>
      <c r="I70" s="106">
        <f>+H70*0.7</f>
        <v>136132500</v>
      </c>
    </row>
    <row r="71" spans="1:5" ht="16.5" customHeight="1">
      <c r="A71" s="88">
        <v>54</v>
      </c>
      <c r="B71" t="s">
        <v>202</v>
      </c>
      <c r="C71" s="17">
        <f>SUM($C$37*$C$18)</f>
        <v>403200</v>
      </c>
      <c r="D71" s="82"/>
      <c r="E71" s="82"/>
    </row>
    <row r="72" spans="1:5" ht="16.5" customHeight="1">
      <c r="A72" s="187">
        <v>55</v>
      </c>
      <c r="B72" t="s">
        <v>203</v>
      </c>
      <c r="C72" s="17">
        <f>SUM(C41*C16)</f>
        <v>3300</v>
      </c>
      <c r="E72" s="82"/>
    </row>
    <row r="73" spans="1:9" ht="16.5" customHeight="1">
      <c r="A73" s="88">
        <v>56</v>
      </c>
      <c r="B73" t="s">
        <v>125</v>
      </c>
      <c r="C73" s="17">
        <f>SUM(C71+(C71*C51))</f>
        <v>2016000</v>
      </c>
      <c r="E73" s="82"/>
      <c r="G73">
        <v>50</v>
      </c>
      <c r="H73" s="106">
        <v>140826000</v>
      </c>
      <c r="I73" s="106">
        <f>+H73*0.7</f>
        <v>98578200</v>
      </c>
    </row>
    <row r="74" spans="1:9" ht="16.5" customHeight="1">
      <c r="A74" s="88">
        <v>57</v>
      </c>
      <c r="B74" s="41" t="s">
        <v>201</v>
      </c>
      <c r="C74" s="114">
        <f>SUM(C71+C72)</f>
        <v>406500</v>
      </c>
      <c r="E74" s="82"/>
      <c r="G74">
        <v>60</v>
      </c>
      <c r="H74" s="106">
        <v>167650000</v>
      </c>
      <c r="I74" s="106">
        <f aca="true" t="shared" si="0" ref="I74:I80">+H74*0.7</f>
        <v>117355000</v>
      </c>
    </row>
    <row r="75" spans="1:9" ht="16.5" customHeight="1" thickBot="1">
      <c r="A75" s="187">
        <v>58</v>
      </c>
      <c r="B75" s="35" t="s">
        <v>220</v>
      </c>
      <c r="C75" s="37">
        <f>SUM(C72:C73)</f>
        <v>2019300</v>
      </c>
      <c r="D75" s="35"/>
      <c r="G75">
        <v>70</v>
      </c>
      <c r="H75" s="106">
        <v>194475000</v>
      </c>
      <c r="I75" s="106">
        <f t="shared" si="0"/>
        <v>136132500</v>
      </c>
    </row>
    <row r="76" spans="1:9" ht="15" customHeight="1">
      <c r="A76" s="88">
        <v>59</v>
      </c>
      <c r="B76" s="86" t="s">
        <v>131</v>
      </c>
      <c r="C76" s="17">
        <f>SUM((C11-C18)*$C$35)*$C$19*$C$18</f>
        <v>0</v>
      </c>
      <c r="D76" t="s">
        <v>74</v>
      </c>
      <c r="G76">
        <v>75</v>
      </c>
      <c r="H76" s="106">
        <v>207887000</v>
      </c>
      <c r="I76" s="106">
        <f t="shared" si="0"/>
        <v>145520900</v>
      </c>
    </row>
    <row r="77" spans="1:9" ht="15" customHeight="1" thickBot="1">
      <c r="A77" s="88">
        <v>60</v>
      </c>
      <c r="B77" s="132" t="s">
        <v>75</v>
      </c>
      <c r="C77" s="37">
        <f>SUM(C76*365)</f>
        <v>0</v>
      </c>
      <c r="D77" s="35"/>
      <c r="G77">
        <v>80</v>
      </c>
      <c r="H77" s="106">
        <v>221298000</v>
      </c>
      <c r="I77" s="106">
        <f t="shared" si="0"/>
        <v>154908600</v>
      </c>
    </row>
    <row r="78" spans="1:9" ht="15">
      <c r="A78" s="187">
        <v>61</v>
      </c>
      <c r="B78" s="86" t="s">
        <v>418</v>
      </c>
      <c r="C78" s="27">
        <f>SUM($C$57*30)</f>
        <v>189000000</v>
      </c>
      <c r="G78">
        <v>85</v>
      </c>
      <c r="H78" s="106">
        <v>234710000</v>
      </c>
      <c r="I78" s="106">
        <f t="shared" si="0"/>
        <v>164297000</v>
      </c>
    </row>
    <row r="79" spans="1:9" ht="15">
      <c r="A79" s="88">
        <v>62</v>
      </c>
      <c r="B79" s="86" t="s">
        <v>419</v>
      </c>
      <c r="C79" s="109">
        <f>SUM(C78*12)</f>
        <v>2268000000</v>
      </c>
      <c r="G79">
        <v>95</v>
      </c>
      <c r="H79" s="106">
        <v>261535000</v>
      </c>
      <c r="I79" s="106">
        <f t="shared" si="0"/>
        <v>183074500</v>
      </c>
    </row>
    <row r="80" spans="1:9" ht="18">
      <c r="A80" s="10"/>
      <c r="B80" s="85"/>
      <c r="C80" s="53"/>
      <c r="D80" s="24"/>
      <c r="E80" s="25"/>
      <c r="G80">
        <v>100</v>
      </c>
      <c r="H80" s="106">
        <v>274947000</v>
      </c>
      <c r="I80" s="106">
        <f t="shared" si="0"/>
        <v>192462900</v>
      </c>
    </row>
    <row r="81" spans="3:4" s="19" customFormat="1" ht="15.75">
      <c r="C81" s="119" t="s">
        <v>140</v>
      </c>
      <c r="D81" s="120">
        <f>'Costs per kilometer'!$E$50+('Costs per kilometer'!$E$50*C5)</f>
        <v>2001636765.9373333</v>
      </c>
    </row>
    <row r="82" spans="3:4" s="19" customFormat="1" ht="15.75">
      <c r="C82" s="119" t="s">
        <v>413</v>
      </c>
      <c r="D82" s="120">
        <f>$C$66</f>
        <v>2368620000</v>
      </c>
    </row>
    <row r="83" spans="3:5" s="19" customFormat="1" ht="15.75">
      <c r="C83" s="119" t="s">
        <v>414</v>
      </c>
      <c r="D83" s="19">
        <f>SUM(D81/D82)</f>
        <v>0.8450645379745731</v>
      </c>
      <c r="E83" s="19" t="s">
        <v>415</v>
      </c>
    </row>
    <row r="84" spans="3:4" s="19" customFormat="1" ht="15.75">
      <c r="C84" s="119" t="s">
        <v>420</v>
      </c>
      <c r="D84" s="212">
        <v>0.32</v>
      </c>
    </row>
    <row r="85" spans="3:4" s="19" customFormat="1" ht="15.75">
      <c r="C85" s="119" t="s">
        <v>421</v>
      </c>
      <c r="D85" s="224">
        <f>SUM(D81/(D82*D84))</f>
        <v>2.640826681170541</v>
      </c>
    </row>
    <row r="86" spans="3:4" s="19" customFormat="1" ht="15">
      <c r="C86" s="26" t="s">
        <v>127</v>
      </c>
      <c r="D86" s="115">
        <v>18</v>
      </c>
    </row>
    <row r="87" spans="3:4" s="19" customFormat="1" ht="15">
      <c r="C87" s="26" t="s">
        <v>221</v>
      </c>
      <c r="D87" s="115">
        <v>4</v>
      </c>
    </row>
    <row r="88" spans="3:5" s="19" customFormat="1" ht="15">
      <c r="C88" s="26" t="s">
        <v>416</v>
      </c>
      <c r="D88" s="116">
        <f>ProductionTimeLine!$O$7</f>
        <v>0.5983749053030303</v>
      </c>
      <c r="E88" s="19" t="s">
        <v>417</v>
      </c>
    </row>
    <row r="89" spans="3:4" s="19" customFormat="1" ht="15">
      <c r="C89" s="26" t="s">
        <v>141</v>
      </c>
      <c r="D89" s="117">
        <f>SUM(D86:D88)</f>
        <v>22.59837490530303</v>
      </c>
    </row>
    <row r="90" spans="3:4" s="19" customFormat="1" ht="15">
      <c r="C90" s="26" t="s">
        <v>219</v>
      </c>
      <c r="D90" s="117">
        <f>SUM(D89/12)</f>
        <v>1.8831979087752524</v>
      </c>
    </row>
    <row r="91" spans="3:4" s="19" customFormat="1" ht="15.75">
      <c r="C91" s="26" t="s">
        <v>204</v>
      </c>
      <c r="D91" s="118">
        <f>SUM(12*D83)+D89</f>
        <v>32.73914936099791</v>
      </c>
    </row>
    <row r="92" spans="3:4" s="19" customFormat="1" ht="15.75">
      <c r="C92" s="26" t="s">
        <v>410</v>
      </c>
      <c r="D92" s="74">
        <f>SUM(D91/12)</f>
        <v>2.7282624467498255</v>
      </c>
    </row>
    <row r="93" spans="3:4" s="19" customFormat="1" ht="15">
      <c r="C93" s="26" t="s">
        <v>76</v>
      </c>
      <c r="D93" s="105">
        <f>SUM($C$78*12)</f>
        <v>2268000000</v>
      </c>
    </row>
  </sheetData>
  <sheetProtection/>
  <hyperlinks>
    <hyperlink ref="D13" location="'Costs per kilometer'!A42" display="'Costs per kilometer'!A42"/>
    <hyperlink ref="D14" location="'Costs per kilometer'!A42" display="'Costs per kilometer'!A42"/>
    <hyperlink ref="C65" location="Trans_Rev.per.day.per.mile" display="Trans_Rev.per.day.per.mile"/>
  </hyperlinks>
  <printOptions/>
  <pageMargins left="0.75" right="0.75" top="1" bottom="1" header="0.5" footer="0.5"/>
  <pageSetup fitToHeight="1" fitToWidth="1" horizontalDpi="600" verticalDpi="600" orientation="portrait" scale="43" r:id="rId2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800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75" zoomScaleNormal="75" workbookViewId="0" topLeftCell="A1">
      <selection activeCell="N23" sqref="N23"/>
    </sheetView>
  </sheetViews>
  <sheetFormatPr defaultColWidth="9.140625" defaultRowHeight="12.75"/>
  <cols>
    <col min="1" max="1" width="19.140625" style="0" customWidth="1"/>
    <col min="2" max="2" width="10.7109375" style="0" customWidth="1"/>
    <col min="3" max="3" width="9.7109375" style="0" customWidth="1"/>
    <col min="4" max="4" width="12.421875" style="0" customWidth="1"/>
    <col min="5" max="5" width="14.57421875" style="0" customWidth="1"/>
    <col min="6" max="6" width="12.140625" style="0" customWidth="1"/>
    <col min="7" max="8" width="21.00390625" style="0" customWidth="1"/>
    <col min="10" max="10" width="5.421875" style="0" customWidth="1"/>
  </cols>
  <sheetData>
    <row r="1" spans="1:2" ht="15.75">
      <c r="A1" s="203" t="s">
        <v>624</v>
      </c>
      <c r="B1" s="203"/>
    </row>
    <row r="2" spans="1:11" ht="12.75">
      <c r="A2" s="30" t="s">
        <v>625</v>
      </c>
      <c r="B2" s="30" t="s">
        <v>626</v>
      </c>
      <c r="C2" s="30" t="s">
        <v>627</v>
      </c>
      <c r="D2" s="30" t="s">
        <v>628</v>
      </c>
      <c r="E2" s="30" t="s">
        <v>629</v>
      </c>
      <c r="F2" s="30" t="s">
        <v>630</v>
      </c>
      <c r="G2" s="30" t="s">
        <v>631</v>
      </c>
      <c r="H2" s="30" t="s">
        <v>632</v>
      </c>
      <c r="I2" s="30" t="s">
        <v>633</v>
      </c>
      <c r="J2" s="30" t="s">
        <v>276</v>
      </c>
      <c r="K2" s="30" t="s">
        <v>634</v>
      </c>
    </row>
    <row r="3" spans="1:11" ht="12.75">
      <c r="A3" t="s">
        <v>635</v>
      </c>
      <c r="B3" t="s">
        <v>636</v>
      </c>
      <c r="C3">
        <v>7932</v>
      </c>
      <c r="D3" t="s">
        <v>637</v>
      </c>
      <c r="E3" t="s">
        <v>638</v>
      </c>
      <c r="F3" t="s">
        <v>639</v>
      </c>
      <c r="G3" t="s">
        <v>640</v>
      </c>
      <c r="I3" t="s">
        <v>641</v>
      </c>
      <c r="J3" t="s">
        <v>310</v>
      </c>
      <c r="K3">
        <v>48160</v>
      </c>
    </row>
    <row r="4" spans="1:11" ht="12.75">
      <c r="A4" t="s">
        <v>642</v>
      </c>
      <c r="B4" t="s">
        <v>636</v>
      </c>
      <c r="C4">
        <v>30167</v>
      </c>
      <c r="D4" t="s">
        <v>643</v>
      </c>
      <c r="E4" t="s">
        <v>644</v>
      </c>
      <c r="F4" t="s">
        <v>645</v>
      </c>
      <c r="G4" t="s">
        <v>646</v>
      </c>
      <c r="I4" t="s">
        <v>647</v>
      </c>
      <c r="J4" t="s">
        <v>310</v>
      </c>
      <c r="K4">
        <v>48108</v>
      </c>
    </row>
    <row r="5" spans="1:11" ht="12.75">
      <c r="A5" t="s">
        <v>648</v>
      </c>
      <c r="B5" t="s">
        <v>649</v>
      </c>
      <c r="C5">
        <v>15901</v>
      </c>
      <c r="D5" t="s">
        <v>650</v>
      </c>
      <c r="E5" t="s">
        <v>651</v>
      </c>
      <c r="F5" t="s">
        <v>652</v>
      </c>
      <c r="G5" t="s">
        <v>653</v>
      </c>
      <c r="I5" t="s">
        <v>654</v>
      </c>
      <c r="J5" t="s">
        <v>310</v>
      </c>
      <c r="K5">
        <v>48116</v>
      </c>
    </row>
    <row r="6" spans="1:11" ht="12.75">
      <c r="A6" t="s">
        <v>655</v>
      </c>
      <c r="B6" t="s">
        <v>649</v>
      </c>
      <c r="C6">
        <v>7004</v>
      </c>
      <c r="D6" t="s">
        <v>656</v>
      </c>
      <c r="E6" t="s">
        <v>657</v>
      </c>
      <c r="F6" t="s">
        <v>658</v>
      </c>
      <c r="G6" t="s">
        <v>659</v>
      </c>
      <c r="H6" t="s">
        <v>660</v>
      </c>
      <c r="I6" t="s">
        <v>661</v>
      </c>
      <c r="J6" t="s">
        <v>310</v>
      </c>
      <c r="K6">
        <v>48836</v>
      </c>
    </row>
    <row r="7" spans="1:11" ht="12.75">
      <c r="A7" t="s">
        <v>662</v>
      </c>
      <c r="B7" t="s">
        <v>649</v>
      </c>
      <c r="C7">
        <v>5679</v>
      </c>
      <c r="D7" t="s">
        <v>663</v>
      </c>
      <c r="E7" t="s">
        <v>664</v>
      </c>
      <c r="F7" t="s">
        <v>665</v>
      </c>
      <c r="G7" t="s">
        <v>666</v>
      </c>
      <c r="I7" t="s">
        <v>662</v>
      </c>
      <c r="J7" t="s">
        <v>310</v>
      </c>
      <c r="K7">
        <v>48843</v>
      </c>
    </row>
    <row r="8" spans="1:11" ht="12.75">
      <c r="A8" t="s">
        <v>654</v>
      </c>
      <c r="B8" t="s">
        <v>649</v>
      </c>
      <c r="C8">
        <v>17673</v>
      </c>
      <c r="D8" t="s">
        <v>667</v>
      </c>
      <c r="E8" t="s">
        <v>668</v>
      </c>
      <c r="F8" t="s">
        <v>669</v>
      </c>
      <c r="G8" t="s">
        <v>670</v>
      </c>
      <c r="I8" t="s">
        <v>654</v>
      </c>
      <c r="J8" t="s">
        <v>310</v>
      </c>
      <c r="K8">
        <v>48114</v>
      </c>
    </row>
    <row r="9" spans="1:11" ht="12.75">
      <c r="A9" t="s">
        <v>671</v>
      </c>
      <c r="B9" t="s">
        <v>672</v>
      </c>
      <c r="C9">
        <v>30195</v>
      </c>
      <c r="D9" t="s">
        <v>673</v>
      </c>
      <c r="E9" t="s">
        <v>674</v>
      </c>
      <c r="F9" t="s">
        <v>675</v>
      </c>
      <c r="G9" t="s">
        <v>676</v>
      </c>
      <c r="H9" t="s">
        <v>677</v>
      </c>
      <c r="I9" t="s">
        <v>678</v>
      </c>
      <c r="J9" t="s">
        <v>310</v>
      </c>
      <c r="K9">
        <v>49306</v>
      </c>
    </row>
    <row r="10" spans="1:11" ht="12.75">
      <c r="A10" t="s">
        <v>679</v>
      </c>
      <c r="B10" t="s">
        <v>672</v>
      </c>
      <c r="C10">
        <v>5219</v>
      </c>
      <c r="D10" t="s">
        <v>680</v>
      </c>
      <c r="E10" t="s">
        <v>681</v>
      </c>
      <c r="F10" t="s">
        <v>682</v>
      </c>
      <c r="G10" t="s">
        <v>683</v>
      </c>
      <c r="H10" t="s">
        <v>684</v>
      </c>
      <c r="I10" t="s">
        <v>685</v>
      </c>
      <c r="J10" t="s">
        <v>310</v>
      </c>
      <c r="K10">
        <v>49331</v>
      </c>
    </row>
    <row r="11" spans="1:11" ht="12.75">
      <c r="A11" t="s">
        <v>686</v>
      </c>
      <c r="B11" t="s">
        <v>672</v>
      </c>
      <c r="C11">
        <v>14056</v>
      </c>
      <c r="D11" t="s">
        <v>687</v>
      </c>
      <c r="E11" t="s">
        <v>688</v>
      </c>
      <c r="F11" t="s">
        <v>689</v>
      </c>
      <c r="G11" t="s">
        <v>690</v>
      </c>
      <c r="I11" t="s">
        <v>691</v>
      </c>
      <c r="J11" t="s">
        <v>310</v>
      </c>
      <c r="K11">
        <v>49525</v>
      </c>
    </row>
    <row r="12" spans="1:11" ht="12.75">
      <c r="A12" t="s">
        <v>692</v>
      </c>
      <c r="B12" t="s">
        <v>672</v>
      </c>
      <c r="C12">
        <v>15107</v>
      </c>
      <c r="D12" t="s">
        <v>693</v>
      </c>
      <c r="E12" t="s">
        <v>694</v>
      </c>
      <c r="F12" t="s">
        <v>695</v>
      </c>
      <c r="G12" t="s">
        <v>696</v>
      </c>
      <c r="I12" t="s">
        <v>691</v>
      </c>
      <c r="J12" t="s">
        <v>310</v>
      </c>
      <c r="K12">
        <v>49546</v>
      </c>
    </row>
    <row r="13" spans="1:11" ht="12.75">
      <c r="A13" t="s">
        <v>697</v>
      </c>
      <c r="B13" t="s">
        <v>672</v>
      </c>
      <c r="C13">
        <v>8964</v>
      </c>
      <c r="D13" t="s">
        <v>698</v>
      </c>
      <c r="E13" t="s">
        <v>699</v>
      </c>
      <c r="F13" t="s">
        <v>700</v>
      </c>
      <c r="G13" t="s">
        <v>701</v>
      </c>
      <c r="I13" t="s">
        <v>702</v>
      </c>
      <c r="J13" t="s">
        <v>310</v>
      </c>
      <c r="K13">
        <v>49316</v>
      </c>
    </row>
    <row r="14" spans="1:11" ht="12.75">
      <c r="A14" t="s">
        <v>703</v>
      </c>
      <c r="B14" t="s">
        <v>672</v>
      </c>
      <c r="C14">
        <v>2743</v>
      </c>
      <c r="D14" t="s">
        <v>704</v>
      </c>
      <c r="E14" t="s">
        <v>705</v>
      </c>
      <c r="F14" t="s">
        <v>706</v>
      </c>
      <c r="G14" t="s">
        <v>707</v>
      </c>
      <c r="I14" t="s">
        <v>708</v>
      </c>
      <c r="J14" t="s">
        <v>310</v>
      </c>
      <c r="K14">
        <v>49302</v>
      </c>
    </row>
    <row r="15" spans="1:11" ht="12.75">
      <c r="A15" t="s">
        <v>709</v>
      </c>
      <c r="B15" t="s">
        <v>672</v>
      </c>
      <c r="C15">
        <v>9882</v>
      </c>
      <c r="D15" t="s">
        <v>710</v>
      </c>
      <c r="E15" t="s">
        <v>711</v>
      </c>
      <c r="F15" t="s">
        <v>712</v>
      </c>
      <c r="G15" t="s">
        <v>713</v>
      </c>
      <c r="H15" t="s">
        <v>714</v>
      </c>
      <c r="I15" t="s">
        <v>709</v>
      </c>
      <c r="J15" t="s">
        <v>310</v>
      </c>
      <c r="K15">
        <v>49301</v>
      </c>
    </row>
    <row r="16" spans="1:11" ht="12.75">
      <c r="A16" t="s">
        <v>715</v>
      </c>
      <c r="B16" t="s">
        <v>672</v>
      </c>
      <c r="C16">
        <v>13976</v>
      </c>
      <c r="D16" t="s">
        <v>716</v>
      </c>
      <c r="E16" t="s">
        <v>717</v>
      </c>
      <c r="F16" t="s">
        <v>718</v>
      </c>
      <c r="G16" t="s">
        <v>719</v>
      </c>
      <c r="I16" t="s">
        <v>720</v>
      </c>
      <c r="J16" t="s">
        <v>310</v>
      </c>
      <c r="K16">
        <v>49321</v>
      </c>
    </row>
    <row r="17" spans="1:11" ht="12.75">
      <c r="A17" t="s">
        <v>721</v>
      </c>
      <c r="B17" t="s">
        <v>722</v>
      </c>
      <c r="C17">
        <v>1202</v>
      </c>
      <c r="D17" t="s">
        <v>723</v>
      </c>
      <c r="E17" t="s">
        <v>724</v>
      </c>
      <c r="F17" t="s">
        <v>725</v>
      </c>
      <c r="G17" t="s">
        <v>726</v>
      </c>
      <c r="I17" t="s">
        <v>727</v>
      </c>
      <c r="J17" t="s">
        <v>310</v>
      </c>
      <c r="K17">
        <v>48875</v>
      </c>
    </row>
    <row r="18" spans="1:11" ht="12.75">
      <c r="A18" t="s">
        <v>728</v>
      </c>
      <c r="B18" t="s">
        <v>722</v>
      </c>
      <c r="C18">
        <v>4036</v>
      </c>
      <c r="D18" t="s">
        <v>729</v>
      </c>
      <c r="E18" t="s">
        <v>730</v>
      </c>
      <c r="F18" t="s">
        <v>731</v>
      </c>
      <c r="G18" t="s">
        <v>732</v>
      </c>
      <c r="H18" t="s">
        <v>733</v>
      </c>
      <c r="I18" t="s">
        <v>734</v>
      </c>
      <c r="J18" t="s">
        <v>310</v>
      </c>
      <c r="K18">
        <v>48849</v>
      </c>
    </row>
    <row r="19" spans="1:11" ht="12.75">
      <c r="A19" t="s">
        <v>735</v>
      </c>
      <c r="B19" t="s">
        <v>722</v>
      </c>
      <c r="C19">
        <v>4961</v>
      </c>
      <c r="D19" t="s">
        <v>736</v>
      </c>
      <c r="E19" t="s">
        <v>737</v>
      </c>
      <c r="F19" t="s">
        <v>738</v>
      </c>
      <c r="G19" t="s">
        <v>739</v>
      </c>
      <c r="I19" t="s">
        <v>740</v>
      </c>
      <c r="J19" t="s">
        <v>310</v>
      </c>
      <c r="K19">
        <v>48881</v>
      </c>
    </row>
    <row r="20" spans="1:11" ht="12.75">
      <c r="A20" t="s">
        <v>741</v>
      </c>
      <c r="B20" t="s">
        <v>722</v>
      </c>
      <c r="C20">
        <v>2243</v>
      </c>
      <c r="D20" t="s">
        <v>742</v>
      </c>
      <c r="E20" t="s">
        <v>743</v>
      </c>
      <c r="F20" t="s">
        <v>743</v>
      </c>
      <c r="G20" t="s">
        <v>744</v>
      </c>
      <c r="I20" t="s">
        <v>745</v>
      </c>
      <c r="J20" t="s">
        <v>310</v>
      </c>
      <c r="K20">
        <v>48815</v>
      </c>
    </row>
    <row r="21" spans="1:11" ht="12.75">
      <c r="A21" t="s">
        <v>746</v>
      </c>
      <c r="B21" t="s">
        <v>722</v>
      </c>
      <c r="C21">
        <v>2696</v>
      </c>
      <c r="D21" t="s">
        <v>747</v>
      </c>
      <c r="E21" t="s">
        <v>748</v>
      </c>
      <c r="F21" t="s">
        <v>749</v>
      </c>
      <c r="G21" t="s">
        <v>750</v>
      </c>
      <c r="I21" t="s">
        <v>751</v>
      </c>
      <c r="J21" t="s">
        <v>310</v>
      </c>
      <c r="K21">
        <v>48890</v>
      </c>
    </row>
    <row r="22" spans="1:11" ht="12.75">
      <c r="A22" t="s">
        <v>752</v>
      </c>
      <c r="B22" t="s">
        <v>753</v>
      </c>
      <c r="C22">
        <v>39116</v>
      </c>
      <c r="D22" t="s">
        <v>754</v>
      </c>
      <c r="E22" t="s">
        <v>755</v>
      </c>
      <c r="F22" t="s">
        <v>756</v>
      </c>
      <c r="G22" t="s">
        <v>757</v>
      </c>
      <c r="I22" t="s">
        <v>758</v>
      </c>
      <c r="J22" t="s">
        <v>310</v>
      </c>
      <c r="K22">
        <v>48864</v>
      </c>
    </row>
    <row r="23" spans="1:11" ht="12.75">
      <c r="A23" t="s">
        <v>759</v>
      </c>
      <c r="B23" t="s">
        <v>753</v>
      </c>
      <c r="C23">
        <v>4834</v>
      </c>
      <c r="D23" t="s">
        <v>760</v>
      </c>
      <c r="E23" t="s">
        <v>761</v>
      </c>
      <c r="F23" t="s">
        <v>762</v>
      </c>
      <c r="G23" t="s">
        <v>763</v>
      </c>
      <c r="I23" t="s">
        <v>764</v>
      </c>
      <c r="J23" t="s">
        <v>310</v>
      </c>
      <c r="K23">
        <v>48895</v>
      </c>
    </row>
    <row r="24" spans="1:11" ht="12.75">
      <c r="A24" t="s">
        <v>765</v>
      </c>
      <c r="B24" t="s">
        <v>753</v>
      </c>
      <c r="C24">
        <v>8458</v>
      </c>
      <c r="D24" t="s">
        <v>766</v>
      </c>
      <c r="E24" t="s">
        <v>767</v>
      </c>
      <c r="F24" t="s">
        <v>768</v>
      </c>
      <c r="G24" t="s">
        <v>769</v>
      </c>
      <c r="I24" t="s">
        <v>770</v>
      </c>
      <c r="J24" t="s">
        <v>310</v>
      </c>
      <c r="K24">
        <v>48917</v>
      </c>
    </row>
    <row r="25" spans="1:11" ht="12.75">
      <c r="A25" t="s">
        <v>771</v>
      </c>
      <c r="B25" t="s">
        <v>753</v>
      </c>
      <c r="C25">
        <v>3653</v>
      </c>
      <c r="D25" t="s">
        <v>772</v>
      </c>
      <c r="E25" t="s">
        <v>773</v>
      </c>
      <c r="F25" t="s">
        <v>774</v>
      </c>
      <c r="G25" t="s">
        <v>775</v>
      </c>
      <c r="I25" t="s">
        <v>776</v>
      </c>
      <c r="J25" t="s">
        <v>310</v>
      </c>
      <c r="K25">
        <v>48892</v>
      </c>
    </row>
    <row r="26" spans="1:11" ht="12.75">
      <c r="A26" t="s">
        <v>777</v>
      </c>
      <c r="B26" t="s">
        <v>778</v>
      </c>
      <c r="C26">
        <v>3703</v>
      </c>
      <c r="D26" t="s">
        <v>779</v>
      </c>
      <c r="E26" t="s">
        <v>780</v>
      </c>
      <c r="F26" t="s">
        <v>781</v>
      </c>
      <c r="G26" t="s">
        <v>684</v>
      </c>
      <c r="I26" t="s">
        <v>782</v>
      </c>
      <c r="J26" t="s">
        <v>310</v>
      </c>
      <c r="K26">
        <v>48837</v>
      </c>
    </row>
    <row r="27" spans="1:11" ht="12.75">
      <c r="A27" t="s">
        <v>783</v>
      </c>
      <c r="B27" t="s">
        <v>778</v>
      </c>
      <c r="C27">
        <v>29682</v>
      </c>
      <c r="D27" t="s">
        <v>784</v>
      </c>
      <c r="E27" t="s">
        <v>785</v>
      </c>
      <c r="F27" t="s">
        <v>786</v>
      </c>
      <c r="G27" t="s">
        <v>787</v>
      </c>
      <c r="I27" t="s">
        <v>770</v>
      </c>
      <c r="J27" t="s">
        <v>310</v>
      </c>
      <c r="K27">
        <v>48917</v>
      </c>
    </row>
    <row r="28" spans="1:11" ht="12.75">
      <c r="A28" t="s">
        <v>788</v>
      </c>
      <c r="B28" t="s">
        <v>789</v>
      </c>
      <c r="C28">
        <v>4162</v>
      </c>
      <c r="D28" t="s">
        <v>790</v>
      </c>
      <c r="E28" t="s">
        <v>791</v>
      </c>
      <c r="F28" t="s">
        <v>792</v>
      </c>
      <c r="G28" t="s">
        <v>793</v>
      </c>
      <c r="I28" t="s">
        <v>782</v>
      </c>
      <c r="J28" t="s">
        <v>310</v>
      </c>
      <c r="K28">
        <v>48837</v>
      </c>
    </row>
    <row r="29" spans="1:11" ht="12.75">
      <c r="A29" s="18" t="s">
        <v>794</v>
      </c>
      <c r="B29" s="18" t="s">
        <v>789</v>
      </c>
      <c r="C29" s="18">
        <v>2332</v>
      </c>
      <c r="D29" s="18" t="s">
        <v>795</v>
      </c>
      <c r="E29" s="18" t="s">
        <v>796</v>
      </c>
      <c r="F29" s="18" t="s">
        <v>797</v>
      </c>
      <c r="G29" s="18" t="s">
        <v>798</v>
      </c>
      <c r="H29" s="18"/>
      <c r="I29" s="18" t="s">
        <v>794</v>
      </c>
      <c r="J29" s="18" t="s">
        <v>310</v>
      </c>
      <c r="K29" s="18">
        <v>48822</v>
      </c>
    </row>
    <row r="30" spans="2:3" ht="12.75">
      <c r="B30" s="52" t="s">
        <v>799</v>
      </c>
      <c r="C30">
        <f>SUM(C3:C29)</f>
        <v>295576</v>
      </c>
    </row>
  </sheetData>
  <printOptions/>
  <pageMargins left="0.75" right="0.75" top="1" bottom="1" header="0.5" footer="0.5"/>
  <pageSetup fitToHeight="1" fitToWidth="1" horizontalDpi="600" verticalDpi="600" orientation="landscape" scale="85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="88" zoomScaleNormal="88" workbookViewId="0" topLeftCell="A19">
      <selection activeCell="G46" sqref="G46"/>
    </sheetView>
  </sheetViews>
  <sheetFormatPr defaultColWidth="9.140625" defaultRowHeight="12.75"/>
  <cols>
    <col min="1" max="1" width="39.00390625" style="0" customWidth="1"/>
    <col min="2" max="4" width="8.140625" style="0" customWidth="1"/>
    <col min="5" max="5" width="19.7109375" style="0" customWidth="1"/>
    <col min="6" max="6" width="17.57421875" style="0" bestFit="1" customWidth="1"/>
    <col min="7" max="7" width="19.00390625" style="0" customWidth="1"/>
    <col min="8" max="9" width="37.140625" style="0" customWidth="1"/>
    <col min="10" max="10" width="18.8515625" style="0" customWidth="1"/>
    <col min="11" max="11" width="19.28125" style="0" customWidth="1"/>
    <col min="12" max="12" width="18.8515625" style="0" bestFit="1" customWidth="1"/>
    <col min="13" max="13" width="18.28125" style="0" bestFit="1" customWidth="1"/>
    <col min="14" max="14" width="14.421875" style="0" customWidth="1"/>
    <col min="15" max="15" width="13.57421875" style="0" bestFit="1" customWidth="1"/>
    <col min="16" max="16" width="12.140625" style="0" bestFit="1" customWidth="1"/>
    <col min="17" max="17" width="14.00390625" style="0" bestFit="1" customWidth="1"/>
  </cols>
  <sheetData>
    <row r="1" spans="1:3" ht="23.25">
      <c r="A1" s="54" t="s">
        <v>79</v>
      </c>
      <c r="B1" s="54"/>
      <c r="C1" s="54"/>
    </row>
    <row r="2" spans="5:6" ht="12.75">
      <c r="E2" s="7" t="s">
        <v>80</v>
      </c>
      <c r="F2" s="52" t="s">
        <v>81</v>
      </c>
    </row>
    <row r="3" spans="1:13" ht="12.75">
      <c r="A3" t="s">
        <v>182</v>
      </c>
      <c r="B3" s="293" t="s">
        <v>189</v>
      </c>
      <c r="C3" s="293"/>
      <c r="D3" s="293"/>
      <c r="E3" s="7" t="s">
        <v>82</v>
      </c>
      <c r="F3" s="52" t="s">
        <v>83</v>
      </c>
      <c r="G3" s="52"/>
      <c r="J3" t="s">
        <v>98</v>
      </c>
      <c r="M3" t="s">
        <v>236</v>
      </c>
    </row>
    <row r="4" spans="1:17" ht="13.5" thickBot="1">
      <c r="A4" s="55" t="s">
        <v>36</v>
      </c>
      <c r="B4" s="30" t="s">
        <v>84</v>
      </c>
      <c r="C4" s="30" t="s">
        <v>85</v>
      </c>
      <c r="D4" s="30" t="s">
        <v>86</v>
      </c>
      <c r="E4" s="56" t="s">
        <v>87</v>
      </c>
      <c r="F4" s="56" t="s">
        <v>88</v>
      </c>
      <c r="G4" s="221" t="s">
        <v>401</v>
      </c>
      <c r="H4" s="56" t="s">
        <v>406</v>
      </c>
      <c r="I4" s="56" t="s">
        <v>608</v>
      </c>
      <c r="J4" s="221" t="s">
        <v>402</v>
      </c>
      <c r="K4" s="57" t="s">
        <v>89</v>
      </c>
      <c r="L4" s="57" t="s">
        <v>90</v>
      </c>
      <c r="M4" s="57" t="s">
        <v>91</v>
      </c>
      <c r="N4" s="58" t="s">
        <v>92</v>
      </c>
      <c r="O4" s="147" t="s">
        <v>237</v>
      </c>
      <c r="P4" s="147" t="s">
        <v>238</v>
      </c>
      <c r="Q4" s="147" t="s">
        <v>239</v>
      </c>
    </row>
    <row r="5" spans="1:17" ht="18" customHeight="1" thickTop="1">
      <c r="A5" s="59" t="s">
        <v>93</v>
      </c>
      <c r="B5" s="60">
        <v>120</v>
      </c>
      <c r="C5" s="61">
        <v>7.1</v>
      </c>
      <c r="D5" s="146">
        <f>SUM(B5/C5)</f>
        <v>16.901408450704228</v>
      </c>
      <c r="E5" s="62">
        <v>266</v>
      </c>
      <c r="F5" s="220">
        <v>3278</v>
      </c>
      <c r="G5" s="219">
        <v>8</v>
      </c>
      <c r="H5" s="222">
        <f>SUM(F5*G5)</f>
        <v>26224</v>
      </c>
      <c r="I5" s="222">
        <f>SUM(H5/43560)</f>
        <v>0.602020202020202</v>
      </c>
      <c r="J5" s="219">
        <v>8</v>
      </c>
      <c r="K5" s="28">
        <f>SUM(F5*G5*J5)</f>
        <v>209792</v>
      </c>
      <c r="L5" s="28">
        <f>SUM($F$5*C5)</f>
        <v>23273.8</v>
      </c>
      <c r="M5" s="28">
        <f>SUM($F$5*D5)</f>
        <v>55402.816901408456</v>
      </c>
      <c r="N5" s="27">
        <f>SUM($F$5*E5)</f>
        <v>871948</v>
      </c>
      <c r="O5">
        <f>SUM(K5/747)</f>
        <v>280.8460508701473</v>
      </c>
      <c r="P5" s="148">
        <f>'Return On Investment'!$C$7</f>
        <v>289.855</v>
      </c>
      <c r="Q5" s="28">
        <f>SUM(K5*P5)/747</f>
        <v>81404.63207496653</v>
      </c>
    </row>
    <row r="6" spans="1:17" ht="18" customHeight="1">
      <c r="A6" s="59"/>
      <c r="B6" s="60">
        <v>120</v>
      </c>
      <c r="C6" s="61">
        <v>7.1</v>
      </c>
      <c r="D6" s="146">
        <f>SUM(B6/C6)</f>
        <v>16.901408450704228</v>
      </c>
      <c r="E6" s="62">
        <v>266</v>
      </c>
      <c r="F6" s="220">
        <v>5280</v>
      </c>
      <c r="G6" s="219">
        <v>8</v>
      </c>
      <c r="H6" s="222">
        <f>SUM(F6*G6)</f>
        <v>42240</v>
      </c>
      <c r="I6" s="222">
        <f>SUM(H6/43560)</f>
        <v>0.9696969696969697</v>
      </c>
      <c r="J6" s="219">
        <v>8</v>
      </c>
      <c r="K6" s="28">
        <f>SUM(F6*G6*J6)</f>
        <v>337920</v>
      </c>
      <c r="L6" s="28">
        <f>SUM($F$6*C6)</f>
        <v>37488</v>
      </c>
      <c r="M6" s="28">
        <f>SUM($F$6*D6)</f>
        <v>89239.43661971833</v>
      </c>
      <c r="N6" s="27">
        <f>SUM($F$6*E6)</f>
        <v>1404480</v>
      </c>
      <c r="O6">
        <f>SUM(K6/747)</f>
        <v>452.3694779116466</v>
      </c>
      <c r="P6" s="148">
        <f>'Return On Investment'!$C$7</f>
        <v>289.855</v>
      </c>
      <c r="Q6" s="28">
        <f>SUM(K6*P6)/747</f>
        <v>131121.55502008033</v>
      </c>
    </row>
    <row r="7" spans="1:3" ht="12.75">
      <c r="A7" s="63" t="s">
        <v>94</v>
      </c>
      <c r="B7" s="63"/>
      <c r="C7" s="63"/>
    </row>
    <row r="8" ht="12.75">
      <c r="A8" s="15" t="s">
        <v>95</v>
      </c>
    </row>
    <row r="9" spans="5:7" ht="12.75">
      <c r="E9" t="s">
        <v>96</v>
      </c>
      <c r="F9" s="64">
        <f>SUM(E5/B5)</f>
        <v>2.216666666666667</v>
      </c>
      <c r="G9" t="s">
        <v>97</v>
      </c>
    </row>
    <row r="10" spans="1:7" ht="12.75">
      <c r="A10" s="11" t="s">
        <v>172</v>
      </c>
      <c r="B10" s="11"/>
      <c r="C10" s="11"/>
      <c r="D10" s="11"/>
      <c r="E10" s="11"/>
      <c r="F10" s="11"/>
      <c r="G10" t="s">
        <v>1</v>
      </c>
    </row>
    <row r="11" spans="4:5" ht="12.75">
      <c r="D11" s="52" t="s">
        <v>165</v>
      </c>
      <c r="E11" s="27">
        <v>0.1</v>
      </c>
    </row>
    <row r="12" spans="4:5" ht="12.75">
      <c r="D12" s="52" t="s">
        <v>167</v>
      </c>
      <c r="E12" s="93">
        <f>SUM(E11/1000)</f>
        <v>0.0001</v>
      </c>
    </row>
    <row r="13" spans="4:6" ht="12.75">
      <c r="D13" s="52" t="s">
        <v>99</v>
      </c>
      <c r="E13" s="72">
        <f>$K$5</f>
        <v>209792</v>
      </c>
      <c r="F13" s="27">
        <f>SUM(E13*$E$11)/1000</f>
        <v>20.979200000000002</v>
      </c>
    </row>
    <row r="14" spans="4:6" ht="12.75">
      <c r="D14" s="52" t="s">
        <v>170</v>
      </c>
      <c r="E14" s="52">
        <f>'Return On Investment'!$C$7</f>
        <v>289.855</v>
      </c>
      <c r="F14" s="27"/>
    </row>
    <row r="15" spans="4:6" ht="12.75">
      <c r="D15" s="52" t="s">
        <v>407</v>
      </c>
      <c r="E15" s="245">
        <f>SUM(E14*0.62)</f>
        <v>179.7101</v>
      </c>
      <c r="F15" s="27"/>
    </row>
    <row r="16" spans="1:9" ht="13.5" thickBot="1">
      <c r="A16" s="35"/>
      <c r="B16" s="35"/>
      <c r="C16" s="35"/>
      <c r="D16" s="65" t="s">
        <v>100</v>
      </c>
      <c r="E16" s="66">
        <f>SUM(E14*E13)</f>
        <v>60809260.160000004</v>
      </c>
      <c r="F16" s="27">
        <f>SUM(E16*$E$11)/1000</f>
        <v>6080.926016</v>
      </c>
      <c r="G16" s="230">
        <f>SUM(E16/100)</f>
        <v>608092.6016</v>
      </c>
      <c r="H16" s="230">
        <f>SUM(E16*10*365)</f>
        <v>221953799584</v>
      </c>
      <c r="I16" t="s">
        <v>623</v>
      </c>
    </row>
    <row r="17" spans="3:9" ht="13.5" thickBot="1">
      <c r="C17" s="90"/>
      <c r="D17" s="91" t="s">
        <v>161</v>
      </c>
      <c r="E17" s="66">
        <f>SUM(E16*2)</f>
        <v>121618520.32000001</v>
      </c>
      <c r="F17" t="s">
        <v>171</v>
      </c>
      <c r="G17" s="230">
        <f>SUM(E17/100)</f>
        <v>1216185.2032</v>
      </c>
      <c r="H17" s="106">
        <f>SUM(E17*65.5)</f>
        <v>7966013080.96</v>
      </c>
      <c r="I17" s="106"/>
    </row>
    <row r="18" spans="3:5" ht="12.75">
      <c r="C18" s="82"/>
      <c r="D18" s="89" t="s">
        <v>532</v>
      </c>
      <c r="E18" s="92">
        <f>SUM(E17/J5)</f>
        <v>15202315.040000001</v>
      </c>
    </row>
    <row r="19" spans="3:6" ht="15.75">
      <c r="C19" s="82"/>
      <c r="D19" s="89" t="s">
        <v>533</v>
      </c>
      <c r="E19" s="92">
        <f>SUM(E18/43560)</f>
        <v>348.9971313131313</v>
      </c>
      <c r="F19" s="248" t="s">
        <v>534</v>
      </c>
    </row>
    <row r="20" spans="3:9" ht="15.75">
      <c r="C20" s="82"/>
      <c r="D20" s="89"/>
      <c r="E20" s="92">
        <f>SUM(E19*65.5)</f>
        <v>22859.312101010102</v>
      </c>
      <c r="F20" s="248"/>
      <c r="H20" s="106">
        <f>SUM(E20*43560)</f>
        <v>995751635.12</v>
      </c>
      <c r="I20" s="106"/>
    </row>
    <row r="21" spans="3:9" ht="12.75">
      <c r="C21" s="82"/>
      <c r="D21" s="89" t="s">
        <v>399</v>
      </c>
      <c r="E21" s="92">
        <f>SUM(E17/747)</f>
        <v>162809.26414993306</v>
      </c>
      <c r="F21" t="s">
        <v>400</v>
      </c>
      <c r="H21" s="249">
        <f>SUM(H20*J5)</f>
        <v>7966013080.96</v>
      </c>
      <c r="I21" s="249"/>
    </row>
    <row r="22" spans="3:5" ht="12.75">
      <c r="C22" s="82"/>
      <c r="D22" s="89" t="s">
        <v>403</v>
      </c>
      <c r="E22" s="92">
        <v>300</v>
      </c>
    </row>
    <row r="23" spans="3:5" ht="12.75">
      <c r="C23" s="82"/>
      <c r="D23" s="89" t="s">
        <v>408</v>
      </c>
      <c r="E23" s="92">
        <f>SUM(E21/E22)</f>
        <v>542.6975471664435</v>
      </c>
    </row>
    <row r="24" spans="2:5" ht="13.5" thickBot="1">
      <c r="B24" s="35"/>
      <c r="C24" s="35"/>
      <c r="D24" s="223" t="s">
        <v>404</v>
      </c>
      <c r="E24" s="66">
        <f>SUM(E23/E15)</f>
        <v>3.019850009356422</v>
      </c>
    </row>
    <row r="25" spans="3:6" ht="12.75">
      <c r="C25" s="82"/>
      <c r="D25" s="89" t="s">
        <v>163</v>
      </c>
      <c r="E25" s="92">
        <v>15000</v>
      </c>
      <c r="F25" t="s">
        <v>162</v>
      </c>
    </row>
    <row r="26" spans="3:5" ht="12.75">
      <c r="C26" s="82"/>
      <c r="D26" s="89" t="s">
        <v>164</v>
      </c>
      <c r="E26" s="92">
        <f>SUM(E17/E25)</f>
        <v>8107.901354666667</v>
      </c>
    </row>
    <row r="27" spans="4:7" ht="12.75">
      <c r="D27" s="89" t="s">
        <v>168</v>
      </c>
      <c r="E27" s="27">
        <f>SUM(E17*E12)</f>
        <v>12161.852032</v>
      </c>
      <c r="F27" t="s">
        <v>169</v>
      </c>
      <c r="G27" s="27">
        <f>SUM(E27*365)</f>
        <v>4439075.99168</v>
      </c>
    </row>
    <row r="28" ht="12.75">
      <c r="D28" s="89"/>
    </row>
    <row r="29" spans="4:5" ht="12.75">
      <c r="D29" s="52" t="s">
        <v>91</v>
      </c>
      <c r="E29" s="28">
        <f>$M$5</f>
        <v>55402.816901408456</v>
      </c>
    </row>
    <row r="30" spans="4:11" ht="12.75">
      <c r="D30" s="52" t="s">
        <v>101</v>
      </c>
      <c r="E30" s="52">
        <f>'Return On Investment'!$C$7</f>
        <v>289.855</v>
      </c>
      <c r="G30" s="294" t="s">
        <v>405</v>
      </c>
      <c r="H30" s="294"/>
      <c r="I30" s="294"/>
      <c r="J30" s="294"/>
      <c r="K30" s="294"/>
    </row>
    <row r="31" spans="1:11" ht="13.5" thickBot="1">
      <c r="A31" s="35"/>
      <c r="B31" s="35"/>
      <c r="C31" s="35"/>
      <c r="D31" s="65" t="s">
        <v>102</v>
      </c>
      <c r="E31" s="66">
        <f>SUM(E30*E29)</f>
        <v>16058783.492957748</v>
      </c>
      <c r="G31" s="294"/>
      <c r="H31" s="294"/>
      <c r="I31" s="294"/>
      <c r="J31" s="294"/>
      <c r="K31" s="294"/>
    </row>
    <row r="32" spans="3:6" ht="13.5" thickBot="1">
      <c r="C32" s="90"/>
      <c r="D32" s="91" t="s">
        <v>161</v>
      </c>
      <c r="E32" s="66">
        <f>SUM(E31*2)</f>
        <v>32117566.985915497</v>
      </c>
      <c r="F32" t="s">
        <v>409</v>
      </c>
    </row>
    <row r="33" spans="3:5" ht="12.75">
      <c r="C33" s="82"/>
      <c r="D33" s="89" t="s">
        <v>166</v>
      </c>
      <c r="E33" s="92"/>
    </row>
    <row r="34" spans="3:5" ht="12.75">
      <c r="C34" s="82"/>
      <c r="D34" s="89" t="s">
        <v>164</v>
      </c>
      <c r="E34" s="92"/>
    </row>
    <row r="35" spans="1:5" ht="12.75">
      <c r="A35" s="43" t="s">
        <v>103</v>
      </c>
      <c r="B35" s="52"/>
      <c r="C35" s="52"/>
      <c r="D35" s="52"/>
      <c r="E35" s="52"/>
    </row>
    <row r="36" spans="1:4" ht="12.75">
      <c r="A36" s="67" t="s">
        <v>36</v>
      </c>
      <c r="B36" s="30" t="s">
        <v>104</v>
      </c>
      <c r="C36" s="30" t="s">
        <v>38</v>
      </c>
      <c r="D36" s="30" t="s">
        <v>35</v>
      </c>
    </row>
    <row r="37" spans="1:5" ht="12.75">
      <c r="A37" s="52" t="s">
        <v>105</v>
      </c>
      <c r="B37" s="68">
        <v>150</v>
      </c>
      <c r="C37" s="52">
        <f>SUM(B37*1.609)</f>
        <v>241.35</v>
      </c>
      <c r="D37" s="69" t="s">
        <v>78</v>
      </c>
      <c r="E37" s="69"/>
    </row>
    <row r="38" spans="1:4" ht="12.75">
      <c r="A38" s="52" t="s">
        <v>106</v>
      </c>
      <c r="B38" s="70">
        <v>524</v>
      </c>
      <c r="C38" s="52">
        <f>SUM(B38*0.621)</f>
        <v>325.404</v>
      </c>
      <c r="D38" s="69" t="s">
        <v>19</v>
      </c>
    </row>
    <row r="39" spans="1:10" ht="12.75">
      <c r="A39" s="52"/>
      <c r="B39" s="71"/>
      <c r="C39" s="52"/>
      <c r="D39" s="69"/>
      <c r="J39" t="s">
        <v>236</v>
      </c>
    </row>
    <row r="40" spans="2:11" ht="12.75">
      <c r="B40" s="30" t="s">
        <v>107</v>
      </c>
      <c r="C40" s="30" t="s">
        <v>108</v>
      </c>
      <c r="D40" s="30" t="s">
        <v>109</v>
      </c>
      <c r="E40" s="30" t="s">
        <v>77</v>
      </c>
      <c r="F40" s="30" t="s">
        <v>110</v>
      </c>
      <c r="G40" s="30" t="s">
        <v>111</v>
      </c>
      <c r="H40" s="30" t="s">
        <v>112</v>
      </c>
      <c r="I40" s="30"/>
      <c r="J40" s="147" t="s">
        <v>237</v>
      </c>
      <c r="K40" s="147"/>
    </row>
    <row r="41" spans="1:10" ht="12.75">
      <c r="A41" s="52" t="s">
        <v>113</v>
      </c>
      <c r="B41">
        <v>5280</v>
      </c>
      <c r="C41">
        <v>12</v>
      </c>
      <c r="D41" s="72">
        <f>SUM(C41*B41)</f>
        <v>63360</v>
      </c>
      <c r="E41">
        <v>1</v>
      </c>
      <c r="F41">
        <v>8</v>
      </c>
      <c r="G41" s="72">
        <f>SUM(F41*D41)*E41</f>
        <v>506880</v>
      </c>
      <c r="H41" s="72">
        <f>SUM(D41*E41)</f>
        <v>63360</v>
      </c>
      <c r="I41" s="72"/>
      <c r="J41">
        <f>SUM(G41/747)</f>
        <v>678.5542168674699</v>
      </c>
    </row>
    <row r="42" spans="1:10" ht="12.75">
      <c r="A42" s="52" t="s">
        <v>114</v>
      </c>
      <c r="B42">
        <v>3278</v>
      </c>
      <c r="C42">
        <v>12</v>
      </c>
      <c r="D42" s="72">
        <f>SUM(C42*B42)</f>
        <v>39336</v>
      </c>
      <c r="E42">
        <v>1</v>
      </c>
      <c r="F42">
        <v>8</v>
      </c>
      <c r="G42" s="72">
        <f>SUM(F42*D42)*E42</f>
        <v>314688</v>
      </c>
      <c r="H42" s="72">
        <f>SUM(D42*E42)</f>
        <v>39336</v>
      </c>
      <c r="I42" s="72"/>
      <c r="J42">
        <f>SUM(G42/747)</f>
        <v>421.2690763052209</v>
      </c>
    </row>
    <row r="43" ht="12.75">
      <c r="E43" t="s">
        <v>1</v>
      </c>
    </row>
  </sheetData>
  <sheetProtection/>
  <mergeCells count="2">
    <mergeCell ref="B3:D3"/>
    <mergeCell ref="G30:K31"/>
  </mergeCells>
  <hyperlinks>
    <hyperlink ref="A8" r:id="rId1" display="http://pvsolarmodules.com/kyocera.html"/>
  </hyperlinks>
  <printOptions/>
  <pageMargins left="0.75" right="0.75" top="1" bottom="1" header="0.5" footer="0.5"/>
  <pageSetup fitToHeight="1" fitToWidth="1" horizontalDpi="600" verticalDpi="600" orientation="landscape" scale="38" r:id="rId2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K42"/>
  <sheetViews>
    <sheetView workbookViewId="0" topLeftCell="A1">
      <selection activeCell="C8" sqref="C8"/>
    </sheetView>
  </sheetViews>
  <sheetFormatPr defaultColWidth="9.140625" defaultRowHeight="12.75"/>
  <cols>
    <col min="1" max="1" width="18.57421875" style="0" bestFit="1" customWidth="1"/>
    <col min="2" max="2" width="15.8515625" style="0" customWidth="1"/>
    <col min="3" max="3" width="18.7109375" style="0" bestFit="1" customWidth="1"/>
    <col min="4" max="4" width="24.7109375" style="0" customWidth="1"/>
    <col min="5" max="5" width="11.57421875" style="0" customWidth="1"/>
    <col min="6" max="6" width="25.140625" style="0" customWidth="1"/>
    <col min="7" max="7" width="14.8515625" style="0" customWidth="1"/>
    <col min="8" max="8" width="14.28125" style="0" bestFit="1" customWidth="1"/>
    <col min="9" max="9" width="14.8515625" style="0" bestFit="1" customWidth="1"/>
    <col min="10" max="10" width="20.00390625" style="0" customWidth="1"/>
    <col min="11" max="11" width="19.8515625" style="0" bestFit="1" customWidth="1"/>
  </cols>
  <sheetData>
    <row r="2" ht="27">
      <c r="A2" s="260" t="s">
        <v>609</v>
      </c>
    </row>
    <row r="4" ht="15">
      <c r="A4" s="19" t="s">
        <v>610</v>
      </c>
    </row>
    <row r="5" ht="12.75">
      <c r="C5" t="s">
        <v>611</v>
      </c>
    </row>
    <row r="6" spans="1:11" ht="12.75">
      <c r="A6" s="11" t="s">
        <v>612</v>
      </c>
      <c r="B6" s="11" t="s">
        <v>613</v>
      </c>
      <c r="C6" s="261" t="s">
        <v>614</v>
      </c>
      <c r="D6" s="11" t="s">
        <v>615</v>
      </c>
      <c r="E6" s="11" t="s">
        <v>616</v>
      </c>
      <c r="F6" s="11" t="s">
        <v>223</v>
      </c>
      <c r="G6" s="11" t="s">
        <v>617</v>
      </c>
      <c r="H6" s="11" t="s">
        <v>618</v>
      </c>
      <c r="I6" s="11" t="s">
        <v>619</v>
      </c>
      <c r="J6" s="11" t="s">
        <v>620</v>
      </c>
      <c r="K6" s="11" t="s">
        <v>621</v>
      </c>
    </row>
    <row r="7" spans="1:11" ht="12.75">
      <c r="A7" s="72">
        <v>150000</v>
      </c>
      <c r="B7">
        <v>8</v>
      </c>
      <c r="C7" s="262">
        <v>1</v>
      </c>
      <c r="D7" s="263">
        <f>SUM(C7/A7)</f>
        <v>6.666666666666667E-06</v>
      </c>
      <c r="E7">
        <f>SUM(C7*43560)</f>
        <v>43560</v>
      </c>
      <c r="F7">
        <f>SUM(E7*B7)</f>
        <v>348480</v>
      </c>
      <c r="G7" s="262">
        <v>10</v>
      </c>
      <c r="H7">
        <f>SUM(G7*F7)</f>
        <v>3484800</v>
      </c>
      <c r="I7">
        <f>SUM(H7*365)</f>
        <v>1271952000</v>
      </c>
      <c r="J7" s="264">
        <v>15000000</v>
      </c>
      <c r="K7" s="265">
        <f>SUM(I7/J7)</f>
        <v>84.7968</v>
      </c>
    </row>
    <row r="13" ht="12.75">
      <c r="A13" t="s">
        <v>607</v>
      </c>
    </row>
    <row r="14" spans="1:6" ht="12.75">
      <c r="A14" s="11" t="s">
        <v>444</v>
      </c>
      <c r="B14" s="11"/>
      <c r="C14" s="11"/>
      <c r="D14" s="11"/>
      <c r="E14" s="11"/>
      <c r="F14" s="11"/>
    </row>
    <row r="15" spans="1:4" ht="12.75">
      <c r="A15" t="s">
        <v>434</v>
      </c>
      <c r="C15" s="266">
        <f>SUM(F7)</f>
        <v>348480</v>
      </c>
      <c r="D15" t="s">
        <v>223</v>
      </c>
    </row>
    <row r="16" spans="1:3" ht="12.75">
      <c r="A16" t="s">
        <v>445</v>
      </c>
      <c r="C16">
        <v>5000</v>
      </c>
    </row>
    <row r="17" spans="1:4" ht="12.75">
      <c r="A17" t="s">
        <v>446</v>
      </c>
      <c r="C17" s="231">
        <f>SUM(C15/C16)</f>
        <v>69.696</v>
      </c>
      <c r="D17" t="s">
        <v>447</v>
      </c>
    </row>
    <row r="18" spans="1:4" ht="12.75">
      <c r="A18" t="s">
        <v>448</v>
      </c>
      <c r="C18">
        <v>0.0813</v>
      </c>
      <c r="D18" t="s">
        <v>449</v>
      </c>
    </row>
    <row r="19" spans="3:4" ht="12.75">
      <c r="C19" s="231">
        <f>SUM(C17*C18)</f>
        <v>5.6662848</v>
      </c>
      <c r="D19" t="s">
        <v>450</v>
      </c>
    </row>
    <row r="20" spans="1:3" ht="12.75">
      <c r="A20" t="s">
        <v>438</v>
      </c>
      <c r="C20">
        <v>9</v>
      </c>
    </row>
    <row r="21" spans="3:4" ht="12.75">
      <c r="C21" s="231">
        <f>SUM(C19*C20)</f>
        <v>50.9965632</v>
      </c>
      <c r="D21" t="s">
        <v>451</v>
      </c>
    </row>
    <row r="22" spans="1:4" ht="12.75">
      <c r="A22" t="s">
        <v>452</v>
      </c>
      <c r="C22">
        <v>3.785</v>
      </c>
      <c r="D22" t="s">
        <v>453</v>
      </c>
    </row>
    <row r="23" spans="3:7" ht="12.75">
      <c r="C23" s="267">
        <f>SUM(C21/C22)</f>
        <v>13.47333241743725</v>
      </c>
      <c r="D23" s="25" t="s">
        <v>454</v>
      </c>
      <c r="G23" s="231"/>
    </row>
    <row r="24" spans="3:7" ht="12.75">
      <c r="C24" s="267">
        <f>SUM(C23/60)</f>
        <v>0.22455554029062083</v>
      </c>
      <c r="D24" s="25" t="s">
        <v>622</v>
      </c>
      <c r="G24" s="231"/>
    </row>
    <row r="25" spans="3:4" ht="12.75">
      <c r="C25">
        <v>10</v>
      </c>
      <c r="D25" t="s">
        <v>455</v>
      </c>
    </row>
    <row r="26" spans="3:4" ht="12.75">
      <c r="C26" s="267">
        <f>SUM(C23*C25)</f>
        <v>134.7333241743725</v>
      </c>
      <c r="D26" s="25" t="s">
        <v>456</v>
      </c>
    </row>
    <row r="27" spans="3:4" ht="12.75">
      <c r="C27">
        <v>365</v>
      </c>
      <c r="D27" t="s">
        <v>457</v>
      </c>
    </row>
    <row r="28" spans="3:4" ht="12.75">
      <c r="C28" s="267">
        <f>SUM(C26*C27)</f>
        <v>49177.66332364597</v>
      </c>
      <c r="D28" s="25" t="s">
        <v>458</v>
      </c>
    </row>
    <row r="30" ht="12.75">
      <c r="A30" t="s">
        <v>244</v>
      </c>
    </row>
    <row r="32" spans="1:2" ht="12.75">
      <c r="A32" t="s">
        <v>245</v>
      </c>
      <c r="B32" s="268">
        <v>0.112</v>
      </c>
    </row>
    <row r="33" spans="1:2" ht="12.75">
      <c r="A33" t="s">
        <v>246</v>
      </c>
      <c r="B33" s="268">
        <v>0.888</v>
      </c>
    </row>
    <row r="34" ht="12.75">
      <c r="B34" s="268">
        <f>SUM(B32:B33)</f>
        <v>1</v>
      </c>
    </row>
    <row r="36" ht="12.75">
      <c r="A36" t="s">
        <v>249</v>
      </c>
    </row>
    <row r="37" ht="12.75">
      <c r="A37" t="s">
        <v>250</v>
      </c>
    </row>
    <row r="38" ht="12.75">
      <c r="A38" t="s">
        <v>251</v>
      </c>
    </row>
    <row r="39" ht="12.75">
      <c r="A39" t="s">
        <v>252</v>
      </c>
    </row>
    <row r="41" ht="12.75">
      <c r="A41" t="s">
        <v>247</v>
      </c>
    </row>
    <row r="42" ht="12.75">
      <c r="A42" t="s">
        <v>248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"/>
  <sheetViews>
    <sheetView workbookViewId="0" topLeftCell="U6">
      <pane ySplit="1110" topLeftCell="BM1" activePane="bottomLeft" state="split"/>
      <selection pane="topLeft" activeCell="A10" sqref="A10"/>
      <selection pane="bottomLeft" activeCell="U19" sqref="U19"/>
    </sheetView>
  </sheetViews>
  <sheetFormatPr defaultColWidth="9.140625" defaultRowHeight="12.75"/>
  <cols>
    <col min="2" max="2" width="6.7109375" style="0" customWidth="1"/>
    <col min="3" max="3" width="14.8515625" style="0" customWidth="1"/>
    <col min="4" max="5" width="17.7109375" style="0" customWidth="1"/>
    <col min="6" max="6" width="18.140625" style="0" customWidth="1"/>
    <col min="7" max="7" width="16.8515625" style="0" customWidth="1"/>
    <col min="8" max="9" width="23.57421875" style="0" customWidth="1"/>
    <col min="10" max="10" width="23.00390625" style="0" customWidth="1"/>
    <col min="11" max="12" width="23.57421875" style="0" customWidth="1"/>
    <col min="13" max="13" width="24.28125" style="0" customWidth="1"/>
    <col min="14" max="14" width="22.8515625" style="0" bestFit="1" customWidth="1"/>
    <col min="15" max="15" width="27.8515625" style="0" customWidth="1"/>
    <col min="16" max="16" width="26.57421875" style="0" customWidth="1"/>
    <col min="17" max="17" width="25.421875" style="0" customWidth="1"/>
    <col min="18" max="18" width="30.7109375" style="0" customWidth="1"/>
    <col min="19" max="19" width="26.00390625" style="0" customWidth="1"/>
    <col min="20" max="20" width="30.421875" style="0" customWidth="1"/>
    <col min="21" max="21" width="31.7109375" style="0" customWidth="1"/>
    <col min="22" max="22" width="35.8515625" style="0" bestFit="1" customWidth="1"/>
    <col min="23" max="23" width="20.421875" style="0" bestFit="1" customWidth="1"/>
    <col min="24" max="24" width="18.140625" style="0" bestFit="1" customWidth="1"/>
    <col min="25" max="25" width="18.140625" style="0" customWidth="1"/>
    <col min="26" max="27" width="14.8515625" style="0" bestFit="1" customWidth="1"/>
  </cols>
  <sheetData>
    <row r="1" ht="23.25">
      <c r="B1" s="54" t="s">
        <v>264</v>
      </c>
    </row>
    <row r="2" spans="3:20" ht="12.75">
      <c r="C2" t="s">
        <v>265</v>
      </c>
      <c r="S2" s="227">
        <v>356</v>
      </c>
      <c r="T2" s="228" t="s">
        <v>426</v>
      </c>
    </row>
    <row r="3" spans="19:24" ht="13.5" thickBot="1">
      <c r="S3" s="227">
        <v>300</v>
      </c>
      <c r="T3" s="229" t="s">
        <v>425</v>
      </c>
      <c r="X3" s="27"/>
    </row>
    <row r="4" spans="10:20" ht="13.5" thickBot="1">
      <c r="J4" s="152">
        <v>0.1</v>
      </c>
      <c r="K4" t="s">
        <v>266</v>
      </c>
      <c r="L4" s="152">
        <v>0.1</v>
      </c>
      <c r="M4" t="s">
        <v>266</v>
      </c>
      <c r="O4" s="152">
        <v>0.25</v>
      </c>
      <c r="P4" t="s">
        <v>266</v>
      </c>
      <c r="S4" s="227" t="s">
        <v>424</v>
      </c>
      <c r="T4" s="153" t="s">
        <v>267</v>
      </c>
    </row>
    <row r="5" spans="10:25" ht="13.5" thickBot="1">
      <c r="J5" s="154">
        <f>SUM(SolarCells!$K$6*2)</f>
        <v>675840</v>
      </c>
      <c r="K5" s="155" t="s">
        <v>268</v>
      </c>
      <c r="L5" s="244">
        <v>13.42</v>
      </c>
      <c r="M5" s="155" t="s">
        <v>526</v>
      </c>
      <c r="N5" s="155"/>
      <c r="O5" s="156">
        <v>38</v>
      </c>
      <c r="P5" s="155" t="s">
        <v>269</v>
      </c>
      <c r="S5" s="157">
        <v>1.2</v>
      </c>
      <c r="T5" s="158" t="s">
        <v>270</v>
      </c>
      <c r="X5" s="159" t="s">
        <v>374</v>
      </c>
      <c r="Y5" s="252"/>
    </row>
    <row r="6" spans="4:25" ht="14.25" customHeight="1" thickBot="1">
      <c r="D6" s="160" t="s">
        <v>271</v>
      </c>
      <c r="F6" s="152">
        <v>0.13</v>
      </c>
      <c r="G6" s="160"/>
      <c r="H6" s="160"/>
      <c r="J6" s="161">
        <v>0.001</v>
      </c>
      <c r="K6" s="155" t="s">
        <v>272</v>
      </c>
      <c r="L6" s="161">
        <v>1.76</v>
      </c>
      <c r="M6" s="155" t="s">
        <v>273</v>
      </c>
      <c r="N6" s="155"/>
      <c r="O6" s="161">
        <v>1</v>
      </c>
      <c r="P6" s="155" t="s">
        <v>274</v>
      </c>
      <c r="S6" s="162">
        <v>24</v>
      </c>
      <c r="T6" s="163" t="s">
        <v>275</v>
      </c>
      <c r="X6" s="164">
        <v>0.5</v>
      </c>
      <c r="Y6" s="253"/>
    </row>
    <row r="7" spans="2:26" ht="13.5" thickBot="1">
      <c r="B7" s="11" t="s">
        <v>276</v>
      </c>
      <c r="C7" s="11" t="s">
        <v>277</v>
      </c>
      <c r="D7" s="11" t="s">
        <v>278</v>
      </c>
      <c r="E7" s="11" t="s">
        <v>461</v>
      </c>
      <c r="F7" s="11" t="s">
        <v>522</v>
      </c>
      <c r="G7" s="30" t="s">
        <v>523</v>
      </c>
      <c r="H7" s="30" t="s">
        <v>524</v>
      </c>
      <c r="I7" s="11" t="s">
        <v>530</v>
      </c>
      <c r="J7" s="11" t="s">
        <v>279</v>
      </c>
      <c r="K7" s="11" t="s">
        <v>280</v>
      </c>
      <c r="L7" s="11" t="s">
        <v>281</v>
      </c>
      <c r="M7" s="11"/>
      <c r="N7" s="30" t="s">
        <v>282</v>
      </c>
      <c r="O7" s="165" t="s">
        <v>378</v>
      </c>
      <c r="P7" s="11" t="s">
        <v>379</v>
      </c>
      <c r="Q7" s="166" t="s">
        <v>283</v>
      </c>
      <c r="R7" s="11" t="s">
        <v>284</v>
      </c>
      <c r="S7" s="30"/>
      <c r="T7" s="30" t="s">
        <v>423</v>
      </c>
      <c r="U7" s="30" t="s">
        <v>376</v>
      </c>
      <c r="V7" s="30" t="s">
        <v>377</v>
      </c>
      <c r="W7" s="30" t="s">
        <v>380</v>
      </c>
      <c r="X7" s="159" t="s">
        <v>374</v>
      </c>
      <c r="Y7" t="s">
        <v>541</v>
      </c>
      <c r="Z7" s="30" t="s">
        <v>285</v>
      </c>
    </row>
    <row r="8" spans="2:26" ht="13.5" thickBot="1">
      <c r="B8" s="167" t="s">
        <v>286</v>
      </c>
      <c r="C8" s="11">
        <v>1</v>
      </c>
      <c r="D8" s="11"/>
      <c r="E8" s="11"/>
      <c r="F8" s="11"/>
      <c r="G8" s="169">
        <v>5</v>
      </c>
      <c r="H8" s="11"/>
      <c r="I8" s="168">
        <v>10000000</v>
      </c>
      <c r="J8" s="169">
        <f>SUM(J5*C8)*J6</f>
        <v>675.84</v>
      </c>
      <c r="K8" s="11" t="s">
        <v>287</v>
      </c>
      <c r="L8" s="169">
        <f>SUM(L6*L5)</f>
        <v>23.6192</v>
      </c>
      <c r="M8" s="67" t="s">
        <v>422</v>
      </c>
      <c r="N8" s="11"/>
      <c r="O8" s="170">
        <f>SUM(O6*O5)</f>
        <v>38</v>
      </c>
      <c r="P8" s="11"/>
      <c r="Q8" s="205">
        <f>'Advertising - Rent'!$F$18</f>
        <v>498146.5221231305</v>
      </c>
      <c r="R8" s="171">
        <f aca="true" t="shared" si="0" ref="R8:R39">SUM(Q8*12)</f>
        <v>5977758.265477566</v>
      </c>
      <c r="S8" s="169"/>
      <c r="T8" s="169">
        <f>SUM(S5*S6*S3*S2)</f>
        <v>3075840</v>
      </c>
      <c r="U8" s="171">
        <f>'Advertising - Rent'!$G$29</f>
        <v>127896.22397405599</v>
      </c>
      <c r="V8" s="171">
        <v>120000</v>
      </c>
      <c r="W8" s="11"/>
      <c r="X8" s="30" t="s">
        <v>427</v>
      </c>
      <c r="Y8" s="254">
        <v>0.25</v>
      </c>
      <c r="Z8" s="11"/>
    </row>
    <row r="9" spans="1:26" ht="12.75">
      <c r="A9" t="s">
        <v>542</v>
      </c>
      <c r="B9" t="s">
        <v>288</v>
      </c>
      <c r="C9">
        <v>923</v>
      </c>
      <c r="D9">
        <v>3651</v>
      </c>
      <c r="E9" s="241">
        <v>4500752</v>
      </c>
      <c r="F9" s="106">
        <f>SUM(E9*$F$6)</f>
        <v>585097.76</v>
      </c>
      <c r="G9" s="172">
        <f>SUM(F9*$G$8)</f>
        <v>2925488.8</v>
      </c>
      <c r="H9" s="27">
        <f>SUM(G9*365)</f>
        <v>1067803411.9999999</v>
      </c>
      <c r="I9" s="172">
        <f aca="true" t="shared" si="1" ref="I9:I40">SUM(C9*$I$8)</f>
        <v>9230000000</v>
      </c>
      <c r="J9" s="172">
        <f aca="true" t="shared" si="2" ref="J9:J40">SUM(C9*$J$8)*$J$4</f>
        <v>62380.03200000001</v>
      </c>
      <c r="K9" s="172">
        <f aca="true" t="shared" si="3" ref="K9:K40">SUM(J9*365)*8</f>
        <v>182149693.44000003</v>
      </c>
      <c r="L9" s="172">
        <f aca="true" t="shared" si="4" ref="L9:L40">SUM($L$8*C9)*$L$4</f>
        <v>2180.05216</v>
      </c>
      <c r="M9" s="172">
        <f aca="true" t="shared" si="5" ref="M9:M40">SUM(L9*8)</f>
        <v>17440.41728</v>
      </c>
      <c r="N9" s="225">
        <f>SUM(M9*365)</f>
        <v>6365752.307200001</v>
      </c>
      <c r="O9" s="172">
        <f aca="true" t="shared" si="6" ref="O9:O40">SUM(C9*$O$8)*$O$4</f>
        <v>8768.5</v>
      </c>
      <c r="P9" s="172">
        <f>SUM(O9*365)</f>
        <v>3200502.5</v>
      </c>
      <c r="Q9" s="172">
        <f aca="true" t="shared" si="7" ref="Q9:Q40">SUM(C9*$Q$8)</f>
        <v>459789239.9196495</v>
      </c>
      <c r="R9" s="172">
        <f t="shared" si="0"/>
        <v>5517470879.035793</v>
      </c>
      <c r="S9" s="172"/>
      <c r="T9" s="172">
        <f aca="true" t="shared" si="8" ref="T9:T40">SUM($T$8*C9)</f>
        <v>2839000320</v>
      </c>
      <c r="U9" s="172">
        <f aca="true" t="shared" si="9" ref="U9:U40">SUM(C9*$U$8)</f>
        <v>118048214.72805367</v>
      </c>
      <c r="V9" s="172">
        <f aca="true" t="shared" si="10" ref="V9:V40">SUM(C9*$V$8)</f>
        <v>110760000</v>
      </c>
      <c r="W9" s="172">
        <f>SUM(K9+N9+H9+P9+R9+T9+U9+V9)</f>
        <v>9844798774.011047</v>
      </c>
      <c r="X9" s="172">
        <f aca="true" t="shared" si="11" ref="X9:X40">SUM(W9*$X$6)</f>
        <v>4922399387.005524</v>
      </c>
      <c r="Y9" s="172">
        <f>SUM(X9*$Y$8)</f>
        <v>1230599846.751381</v>
      </c>
      <c r="Z9">
        <f aca="true" t="shared" si="12" ref="Z9:Z40">SUM(I9/X9)</f>
        <v>1.8751018099762418</v>
      </c>
    </row>
    <row r="10" spans="1:26" ht="12.75">
      <c r="A10" t="s">
        <v>543</v>
      </c>
      <c r="B10" t="s">
        <v>289</v>
      </c>
      <c r="C10">
        <v>1083</v>
      </c>
      <c r="D10">
        <v>2113</v>
      </c>
      <c r="E10" s="241">
        <v>648818</v>
      </c>
      <c r="F10" s="106">
        <f>SUM(E10*$F$6)</f>
        <v>84346.34</v>
      </c>
      <c r="G10" s="172">
        <f aca="true" t="shared" si="13" ref="G10:G60">SUM(F10*$G$8)</f>
        <v>421731.69999999995</v>
      </c>
      <c r="H10" s="27">
        <f>SUM(G10*365)</f>
        <v>153932070.49999997</v>
      </c>
      <c r="I10" s="172">
        <f t="shared" si="1"/>
        <v>10830000000</v>
      </c>
      <c r="J10" s="172">
        <f t="shared" si="2"/>
        <v>73193.47200000001</v>
      </c>
      <c r="K10" s="172">
        <f t="shared" si="3"/>
        <v>213724938.24000004</v>
      </c>
      <c r="L10" s="172">
        <f t="shared" si="4"/>
        <v>2557.9593600000003</v>
      </c>
      <c r="M10" s="172">
        <f t="shared" si="5"/>
        <v>20463.674880000002</v>
      </c>
      <c r="N10" s="225">
        <f aca="true" t="shared" si="14" ref="N10:N60">SUM(M10*365)</f>
        <v>7469241.331200001</v>
      </c>
      <c r="O10" s="172">
        <f t="shared" si="6"/>
        <v>10288.5</v>
      </c>
      <c r="P10" s="172">
        <f aca="true" t="shared" si="15" ref="P10:P60">SUM(O10*365)</f>
        <v>3755302.5</v>
      </c>
      <c r="Q10" s="172">
        <f t="shared" si="7"/>
        <v>539492683.4593503</v>
      </c>
      <c r="R10" s="172">
        <f t="shared" si="0"/>
        <v>6473912201.512204</v>
      </c>
      <c r="S10" s="172"/>
      <c r="T10" s="172">
        <f t="shared" si="8"/>
        <v>3331134720</v>
      </c>
      <c r="U10" s="172">
        <f t="shared" si="9"/>
        <v>138511610.56390265</v>
      </c>
      <c r="V10" s="172">
        <f t="shared" si="10"/>
        <v>129960000</v>
      </c>
      <c r="W10" s="172">
        <f aca="true" t="shared" si="16" ref="W10:W61">SUM(K10+N10+H10+P10+R10+T10+U10+V10)</f>
        <v>10452400084.647306</v>
      </c>
      <c r="X10" s="172">
        <f t="shared" si="11"/>
        <v>5226200042.323653</v>
      </c>
      <c r="Y10" s="172">
        <f aca="true" t="shared" si="17" ref="Y10:Y60">SUM(X10*$Y$8)</f>
        <v>1306550010.5809133</v>
      </c>
      <c r="Z10">
        <f t="shared" si="12"/>
        <v>2.0722513321906457</v>
      </c>
    </row>
    <row r="11" spans="1:26" ht="12.75">
      <c r="A11" t="s">
        <v>544</v>
      </c>
      <c r="B11" t="s">
        <v>290</v>
      </c>
      <c r="C11">
        <v>1300</v>
      </c>
      <c r="D11">
        <v>2713</v>
      </c>
      <c r="E11" s="241">
        <v>5580811</v>
      </c>
      <c r="F11" s="106">
        <f aca="true" t="shared" si="18" ref="F11:F60">SUM(E11*$F$6)</f>
        <v>725505.43</v>
      </c>
      <c r="G11" s="172">
        <f t="shared" si="13"/>
        <v>3627527.1500000004</v>
      </c>
      <c r="H11" s="27">
        <f aca="true" t="shared" si="19" ref="H11:H60">SUM(G11*365)</f>
        <v>1324047409.7500002</v>
      </c>
      <c r="I11" s="172">
        <f t="shared" si="1"/>
        <v>13000000000</v>
      </c>
      <c r="J11" s="172">
        <f t="shared" si="2"/>
        <v>87859.20000000001</v>
      </c>
      <c r="K11" s="172">
        <f t="shared" si="3"/>
        <v>256548864.00000003</v>
      </c>
      <c r="L11" s="172">
        <f t="shared" si="4"/>
        <v>3070.496</v>
      </c>
      <c r="M11" s="172">
        <f t="shared" si="5"/>
        <v>24563.968</v>
      </c>
      <c r="N11" s="225">
        <f t="shared" si="14"/>
        <v>8965848.32</v>
      </c>
      <c r="O11" s="172">
        <f t="shared" si="6"/>
        <v>12350</v>
      </c>
      <c r="P11" s="172">
        <f t="shared" si="15"/>
        <v>4507750</v>
      </c>
      <c r="Q11" s="172">
        <f t="shared" si="7"/>
        <v>647590478.7600696</v>
      </c>
      <c r="R11" s="172">
        <f t="shared" si="0"/>
        <v>7771085745.120835</v>
      </c>
      <c r="S11" s="172"/>
      <c r="T11" s="172">
        <f t="shared" si="8"/>
        <v>3998592000</v>
      </c>
      <c r="U11" s="172">
        <f t="shared" si="9"/>
        <v>166265091.1662728</v>
      </c>
      <c r="V11" s="172">
        <f t="shared" si="10"/>
        <v>156000000</v>
      </c>
      <c r="W11" s="172">
        <f t="shared" si="16"/>
        <v>13686012708.35711</v>
      </c>
      <c r="X11" s="172">
        <f t="shared" si="11"/>
        <v>6843006354.178555</v>
      </c>
      <c r="Y11" s="172">
        <f t="shared" si="17"/>
        <v>1710751588.5446386</v>
      </c>
      <c r="Z11">
        <f t="shared" si="12"/>
        <v>1.8997498069049419</v>
      </c>
    </row>
    <row r="12" spans="1:26" ht="12.75">
      <c r="A12" t="s">
        <v>545</v>
      </c>
      <c r="B12" t="s">
        <v>291</v>
      </c>
      <c r="C12">
        <v>740</v>
      </c>
      <c r="D12">
        <v>2692</v>
      </c>
      <c r="E12" s="241">
        <v>2725714</v>
      </c>
      <c r="F12" s="106">
        <f t="shared" si="18"/>
        <v>354342.82</v>
      </c>
      <c r="G12" s="172">
        <f t="shared" si="13"/>
        <v>1771714.1</v>
      </c>
      <c r="H12" s="27">
        <f t="shared" si="19"/>
        <v>646675646.5</v>
      </c>
      <c r="I12" s="172">
        <f t="shared" si="1"/>
        <v>7400000000</v>
      </c>
      <c r="J12" s="172">
        <f t="shared" si="2"/>
        <v>50012.16</v>
      </c>
      <c r="K12" s="172">
        <f t="shared" si="3"/>
        <v>146035507.20000002</v>
      </c>
      <c r="L12" s="172">
        <f t="shared" si="4"/>
        <v>1747.8208</v>
      </c>
      <c r="M12" s="172">
        <f t="shared" si="5"/>
        <v>13982.5664</v>
      </c>
      <c r="N12" s="225">
        <f t="shared" si="14"/>
        <v>5103636.736</v>
      </c>
      <c r="O12" s="172">
        <f t="shared" si="6"/>
        <v>7030</v>
      </c>
      <c r="P12" s="172">
        <f t="shared" si="15"/>
        <v>2565950</v>
      </c>
      <c r="Q12" s="172">
        <f t="shared" si="7"/>
        <v>368628426.3711166</v>
      </c>
      <c r="R12" s="172">
        <f t="shared" si="0"/>
        <v>4423541116.453399</v>
      </c>
      <c r="S12" s="172"/>
      <c r="T12" s="172">
        <f t="shared" si="8"/>
        <v>2276121600</v>
      </c>
      <c r="U12" s="172">
        <f t="shared" si="9"/>
        <v>94643205.74080144</v>
      </c>
      <c r="V12" s="172">
        <f t="shared" si="10"/>
        <v>88800000</v>
      </c>
      <c r="W12" s="172">
        <f t="shared" si="16"/>
        <v>7683486662.6302</v>
      </c>
      <c r="X12" s="172">
        <f t="shared" si="11"/>
        <v>3841743331.3151</v>
      </c>
      <c r="Y12" s="172">
        <f t="shared" si="17"/>
        <v>960435832.828775</v>
      </c>
      <c r="Z12">
        <f t="shared" si="12"/>
        <v>1.9262088489047606</v>
      </c>
    </row>
    <row r="13" spans="1:26" s="11" customFormat="1" ht="12.75">
      <c r="A13" t="s">
        <v>546</v>
      </c>
      <c r="B13" s="11" t="s">
        <v>292</v>
      </c>
      <c r="C13" s="11">
        <v>3523</v>
      </c>
      <c r="D13" s="11">
        <v>7626</v>
      </c>
      <c r="E13" s="241">
        <v>35484453</v>
      </c>
      <c r="F13" s="106">
        <f t="shared" si="18"/>
        <v>4612978.890000001</v>
      </c>
      <c r="G13" s="172">
        <f t="shared" si="13"/>
        <v>23064894.450000003</v>
      </c>
      <c r="H13" s="27">
        <f t="shared" si="19"/>
        <v>8418686474.250001</v>
      </c>
      <c r="I13" s="171">
        <f t="shared" si="1"/>
        <v>35230000000</v>
      </c>
      <c r="J13" s="171">
        <f t="shared" si="2"/>
        <v>238098.43200000003</v>
      </c>
      <c r="K13" s="171">
        <f t="shared" si="3"/>
        <v>695247421.44</v>
      </c>
      <c r="L13" s="171">
        <f t="shared" si="4"/>
        <v>8321.04416</v>
      </c>
      <c r="M13" s="171">
        <f t="shared" si="5"/>
        <v>66568.35328</v>
      </c>
      <c r="N13" s="226">
        <f t="shared" si="14"/>
        <v>24297448.9472</v>
      </c>
      <c r="O13" s="171">
        <f t="shared" si="6"/>
        <v>33468.5</v>
      </c>
      <c r="P13" s="171">
        <f t="shared" si="15"/>
        <v>12216002.5</v>
      </c>
      <c r="Q13" s="171">
        <f t="shared" si="7"/>
        <v>1754970197.4397888</v>
      </c>
      <c r="R13" s="171">
        <f t="shared" si="0"/>
        <v>21059642369.277466</v>
      </c>
      <c r="S13" s="171"/>
      <c r="T13" s="171">
        <f t="shared" si="8"/>
        <v>10836184320</v>
      </c>
      <c r="U13" s="171">
        <f t="shared" si="9"/>
        <v>450578397.06059927</v>
      </c>
      <c r="V13" s="171">
        <f t="shared" si="10"/>
        <v>422760000</v>
      </c>
      <c r="W13" s="172">
        <f t="shared" si="16"/>
        <v>41919612433.475266</v>
      </c>
      <c r="X13" s="171">
        <f t="shared" si="11"/>
        <v>20959806216.737633</v>
      </c>
      <c r="Y13" s="172">
        <f t="shared" si="17"/>
        <v>5239951554.184408</v>
      </c>
      <c r="Z13" s="11">
        <f t="shared" si="12"/>
        <v>1.6808361506637777</v>
      </c>
    </row>
    <row r="14" spans="1:26" ht="12.75">
      <c r="A14" t="s">
        <v>547</v>
      </c>
      <c r="B14" t="s">
        <v>293</v>
      </c>
      <c r="C14">
        <v>1151</v>
      </c>
      <c r="D14">
        <v>3416</v>
      </c>
      <c r="E14" s="241">
        <v>4550688</v>
      </c>
      <c r="F14" s="106">
        <f t="shared" si="18"/>
        <v>591589.4400000001</v>
      </c>
      <c r="G14" s="172">
        <f t="shared" si="13"/>
        <v>2957947.2</v>
      </c>
      <c r="H14" s="27">
        <f t="shared" si="19"/>
        <v>1079650728</v>
      </c>
      <c r="I14" s="172">
        <f t="shared" si="1"/>
        <v>11510000000</v>
      </c>
      <c r="J14" s="172">
        <f t="shared" si="2"/>
        <v>77789.18400000001</v>
      </c>
      <c r="K14" s="172">
        <f t="shared" si="3"/>
        <v>227144417.28000003</v>
      </c>
      <c r="L14" s="172">
        <f t="shared" si="4"/>
        <v>2718.56992</v>
      </c>
      <c r="M14" s="172">
        <f t="shared" si="5"/>
        <v>21748.55936</v>
      </c>
      <c r="N14" s="225">
        <f t="shared" si="14"/>
        <v>7938224.1663999995</v>
      </c>
      <c r="O14" s="172">
        <f t="shared" si="6"/>
        <v>10934.5</v>
      </c>
      <c r="P14" s="172">
        <f t="shared" si="15"/>
        <v>3991092.5</v>
      </c>
      <c r="Q14" s="172">
        <f t="shared" si="7"/>
        <v>573366646.9637232</v>
      </c>
      <c r="R14" s="172">
        <f t="shared" si="0"/>
        <v>6880399763.564678</v>
      </c>
      <c r="S14" s="172"/>
      <c r="T14" s="172">
        <f t="shared" si="8"/>
        <v>3540291840</v>
      </c>
      <c r="U14" s="172">
        <f t="shared" si="9"/>
        <v>147208553.79413843</v>
      </c>
      <c r="V14" s="172">
        <f t="shared" si="10"/>
        <v>138120000</v>
      </c>
      <c r="W14" s="172">
        <f t="shared" si="16"/>
        <v>12024744619.305216</v>
      </c>
      <c r="X14" s="172">
        <f t="shared" si="11"/>
        <v>6012372309.652608</v>
      </c>
      <c r="Y14" s="172">
        <f t="shared" si="17"/>
        <v>1503093077.413152</v>
      </c>
      <c r="Z14">
        <f t="shared" si="12"/>
        <v>1.914385771074287</v>
      </c>
    </row>
    <row r="15" spans="1:26" ht="12.75">
      <c r="A15" t="s">
        <v>548</v>
      </c>
      <c r="B15" t="s">
        <v>294</v>
      </c>
      <c r="C15">
        <v>533</v>
      </c>
      <c r="D15">
        <v>964</v>
      </c>
      <c r="E15" s="241">
        <v>3483372</v>
      </c>
      <c r="F15" s="106">
        <f t="shared" si="18"/>
        <v>452838.36000000004</v>
      </c>
      <c r="G15" s="172">
        <f t="shared" si="13"/>
        <v>2264191.8000000003</v>
      </c>
      <c r="H15" s="27">
        <f t="shared" si="19"/>
        <v>826430007.0000001</v>
      </c>
      <c r="I15" s="172">
        <f t="shared" si="1"/>
        <v>5330000000</v>
      </c>
      <c r="J15" s="172">
        <f t="shared" si="2"/>
        <v>36022.272000000004</v>
      </c>
      <c r="K15" s="172">
        <f t="shared" si="3"/>
        <v>105185034.24000001</v>
      </c>
      <c r="L15" s="172">
        <f t="shared" si="4"/>
        <v>1258.90336</v>
      </c>
      <c r="M15" s="172">
        <f t="shared" si="5"/>
        <v>10071.22688</v>
      </c>
      <c r="N15" s="225">
        <f t="shared" si="14"/>
        <v>3675997.8112</v>
      </c>
      <c r="O15" s="172">
        <f t="shared" si="6"/>
        <v>5063.5</v>
      </c>
      <c r="P15" s="172">
        <f t="shared" si="15"/>
        <v>1848177.5</v>
      </c>
      <c r="Q15" s="172">
        <f t="shared" si="7"/>
        <v>265512096.29162857</v>
      </c>
      <c r="R15" s="172">
        <f t="shared" si="0"/>
        <v>3186145155.4995427</v>
      </c>
      <c r="S15" s="172"/>
      <c r="T15" s="172">
        <f t="shared" si="8"/>
        <v>1639422720</v>
      </c>
      <c r="U15" s="172">
        <f t="shared" si="9"/>
        <v>68168687.37817185</v>
      </c>
      <c r="V15" s="172">
        <f t="shared" si="10"/>
        <v>63960000</v>
      </c>
      <c r="W15" s="172">
        <f t="shared" si="16"/>
        <v>5894835779.428915</v>
      </c>
      <c r="X15" s="172">
        <f t="shared" si="11"/>
        <v>2947417889.7144575</v>
      </c>
      <c r="Y15" s="172">
        <f t="shared" si="17"/>
        <v>736854472.4286144</v>
      </c>
      <c r="Z15">
        <f t="shared" si="12"/>
        <v>1.8083625055680057</v>
      </c>
    </row>
    <row r="16" spans="1:26" ht="12.75">
      <c r="A16" t="s">
        <v>549</v>
      </c>
      <c r="B16" t="s">
        <v>295</v>
      </c>
      <c r="C16">
        <v>55</v>
      </c>
      <c r="D16">
        <v>315</v>
      </c>
      <c r="E16" s="241">
        <v>817491</v>
      </c>
      <c r="F16" s="106">
        <f t="shared" si="18"/>
        <v>106273.83</v>
      </c>
      <c r="G16" s="172">
        <f t="shared" si="13"/>
        <v>531369.15</v>
      </c>
      <c r="H16" s="27">
        <f t="shared" si="19"/>
        <v>193949739.75</v>
      </c>
      <c r="I16" s="172">
        <f t="shared" si="1"/>
        <v>550000000</v>
      </c>
      <c r="J16" s="172">
        <f t="shared" si="2"/>
        <v>3717.120000000001</v>
      </c>
      <c r="K16" s="172">
        <f t="shared" si="3"/>
        <v>10853990.400000002</v>
      </c>
      <c r="L16" s="172">
        <f t="shared" si="4"/>
        <v>129.90560000000002</v>
      </c>
      <c r="M16" s="172">
        <f t="shared" si="5"/>
        <v>1039.2448000000002</v>
      </c>
      <c r="N16" s="225">
        <f t="shared" si="14"/>
        <v>379324.3520000001</v>
      </c>
      <c r="O16" s="172">
        <f t="shared" si="6"/>
        <v>522.5</v>
      </c>
      <c r="P16" s="172">
        <f t="shared" si="15"/>
        <v>190712.5</v>
      </c>
      <c r="Q16" s="172">
        <f t="shared" si="7"/>
        <v>27398058.716772176</v>
      </c>
      <c r="R16" s="172">
        <f t="shared" si="0"/>
        <v>328776704.60126615</v>
      </c>
      <c r="S16" s="172"/>
      <c r="T16" s="172">
        <f t="shared" si="8"/>
        <v>169171200</v>
      </c>
      <c r="U16" s="172">
        <f t="shared" si="9"/>
        <v>7034292.318573079</v>
      </c>
      <c r="V16" s="172">
        <f t="shared" si="10"/>
        <v>6600000</v>
      </c>
      <c r="W16" s="172">
        <f t="shared" si="16"/>
        <v>716955963.9218392</v>
      </c>
      <c r="X16" s="172">
        <f t="shared" si="11"/>
        <v>358477981.9609196</v>
      </c>
      <c r="Y16" s="172">
        <f t="shared" si="17"/>
        <v>89619495.4902299</v>
      </c>
      <c r="Z16">
        <f t="shared" si="12"/>
        <v>1.534264383523448</v>
      </c>
    </row>
    <row r="17" spans="1:26" s="11" customFormat="1" ht="12.75">
      <c r="A17" t="s">
        <v>550</v>
      </c>
      <c r="B17" s="11" t="s">
        <v>296</v>
      </c>
      <c r="C17" s="11">
        <v>33</v>
      </c>
      <c r="D17" s="11">
        <v>84</v>
      </c>
      <c r="E17" s="241">
        <v>563384</v>
      </c>
      <c r="F17" s="106">
        <f t="shared" si="18"/>
        <v>73239.92</v>
      </c>
      <c r="G17" s="172">
        <f t="shared" si="13"/>
        <v>366199.6</v>
      </c>
      <c r="H17" s="27">
        <f t="shared" si="19"/>
        <v>133662853.99999999</v>
      </c>
      <c r="I17" s="171">
        <f t="shared" si="1"/>
        <v>330000000</v>
      </c>
      <c r="J17" s="171">
        <f t="shared" si="2"/>
        <v>2230.2720000000004</v>
      </c>
      <c r="K17" s="171">
        <f t="shared" si="3"/>
        <v>6512394.240000001</v>
      </c>
      <c r="L17" s="171">
        <f t="shared" si="4"/>
        <v>77.94336</v>
      </c>
      <c r="M17" s="171">
        <f t="shared" si="5"/>
        <v>623.54688</v>
      </c>
      <c r="N17" s="226">
        <f t="shared" si="14"/>
        <v>227594.61119999998</v>
      </c>
      <c r="O17" s="171">
        <f t="shared" si="6"/>
        <v>313.5</v>
      </c>
      <c r="P17" s="171">
        <f t="shared" si="15"/>
        <v>114427.5</v>
      </c>
      <c r="Q17" s="171">
        <f t="shared" si="7"/>
        <v>16438835.230063306</v>
      </c>
      <c r="R17" s="171">
        <f t="shared" si="0"/>
        <v>197266022.76075968</v>
      </c>
      <c r="S17" s="171"/>
      <c r="T17" s="171">
        <f t="shared" si="8"/>
        <v>101502720</v>
      </c>
      <c r="U17" s="171">
        <f t="shared" si="9"/>
        <v>4220575.391143847</v>
      </c>
      <c r="V17" s="171">
        <f t="shared" si="10"/>
        <v>3960000</v>
      </c>
      <c r="W17" s="172">
        <f t="shared" si="16"/>
        <v>447466588.50310355</v>
      </c>
      <c r="X17" s="171">
        <f t="shared" si="11"/>
        <v>223733294.25155178</v>
      </c>
      <c r="Y17" s="172">
        <f t="shared" si="17"/>
        <v>55933323.562887944</v>
      </c>
      <c r="Z17" s="11">
        <f t="shared" si="12"/>
        <v>1.474970460270292</v>
      </c>
    </row>
    <row r="18" spans="1:26" s="11" customFormat="1" ht="12.75">
      <c r="A18" t="s">
        <v>551</v>
      </c>
      <c r="B18" s="11" t="s">
        <v>297</v>
      </c>
      <c r="C18" s="11">
        <v>1854</v>
      </c>
      <c r="D18" s="11">
        <v>4340</v>
      </c>
      <c r="E18" s="241">
        <v>17019068</v>
      </c>
      <c r="F18" s="106">
        <f t="shared" si="18"/>
        <v>2212478.84</v>
      </c>
      <c r="G18" s="172">
        <f t="shared" si="13"/>
        <v>11062394.2</v>
      </c>
      <c r="H18" s="27">
        <f t="shared" si="19"/>
        <v>4037773882.9999995</v>
      </c>
      <c r="I18" s="171">
        <f t="shared" si="1"/>
        <v>18540000000</v>
      </c>
      <c r="J18" s="171">
        <f t="shared" si="2"/>
        <v>125300.73600000002</v>
      </c>
      <c r="K18" s="171">
        <f t="shared" si="3"/>
        <v>365878149.12000006</v>
      </c>
      <c r="L18" s="171">
        <f t="shared" si="4"/>
        <v>4378.99968</v>
      </c>
      <c r="M18" s="171">
        <f t="shared" si="5"/>
        <v>35031.99744</v>
      </c>
      <c r="N18" s="226">
        <f t="shared" si="14"/>
        <v>12786679.0656</v>
      </c>
      <c r="O18" s="171">
        <f t="shared" si="6"/>
        <v>17613</v>
      </c>
      <c r="P18" s="171">
        <f t="shared" si="15"/>
        <v>6428745</v>
      </c>
      <c r="Q18" s="171">
        <f t="shared" si="7"/>
        <v>923563652.016284</v>
      </c>
      <c r="R18" s="171">
        <f t="shared" si="0"/>
        <v>11082763824.195408</v>
      </c>
      <c r="S18" s="171"/>
      <c r="T18" s="171">
        <f t="shared" si="8"/>
        <v>5702607360</v>
      </c>
      <c r="U18" s="171">
        <f t="shared" si="9"/>
        <v>237119599.2478998</v>
      </c>
      <c r="V18" s="171">
        <f t="shared" si="10"/>
        <v>222480000</v>
      </c>
      <c r="W18" s="172">
        <f t="shared" si="16"/>
        <v>21667838239.628906</v>
      </c>
      <c r="X18" s="171">
        <f t="shared" si="11"/>
        <v>10833919119.814453</v>
      </c>
      <c r="Y18" s="172">
        <f t="shared" si="17"/>
        <v>2708479779.9536133</v>
      </c>
      <c r="Z18" s="11">
        <f t="shared" si="12"/>
        <v>1.7112920813753985</v>
      </c>
    </row>
    <row r="19" spans="1:26" s="11" customFormat="1" ht="12.75">
      <c r="A19" t="s">
        <v>552</v>
      </c>
      <c r="B19" s="11" t="s">
        <v>298</v>
      </c>
      <c r="C19" s="11">
        <v>1330</v>
      </c>
      <c r="D19" s="11">
        <v>4810</v>
      </c>
      <c r="E19" s="241">
        <v>8684715</v>
      </c>
      <c r="F19" s="106">
        <f t="shared" si="18"/>
        <v>1129012.95</v>
      </c>
      <c r="G19" s="172">
        <f t="shared" si="13"/>
        <v>5645064.75</v>
      </c>
      <c r="H19" s="27">
        <f t="shared" si="19"/>
        <v>2060448633.75</v>
      </c>
      <c r="I19" s="171">
        <f t="shared" si="1"/>
        <v>13300000000</v>
      </c>
      <c r="J19" s="171">
        <f t="shared" si="2"/>
        <v>89886.72000000002</v>
      </c>
      <c r="K19" s="171">
        <f t="shared" si="3"/>
        <v>262469222.40000004</v>
      </c>
      <c r="L19" s="171">
        <f t="shared" si="4"/>
        <v>3141.3536000000004</v>
      </c>
      <c r="M19" s="171">
        <f t="shared" si="5"/>
        <v>25130.828800000003</v>
      </c>
      <c r="N19" s="226">
        <f t="shared" si="14"/>
        <v>9172752.512000002</v>
      </c>
      <c r="O19" s="171">
        <f t="shared" si="6"/>
        <v>12635</v>
      </c>
      <c r="P19" s="171">
        <f t="shared" si="15"/>
        <v>4611775</v>
      </c>
      <c r="Q19" s="171">
        <f t="shared" si="7"/>
        <v>662534874.4237635</v>
      </c>
      <c r="R19" s="171">
        <f t="shared" si="0"/>
        <v>7950418493.085162</v>
      </c>
      <c r="S19" s="171"/>
      <c r="T19" s="171">
        <f t="shared" si="8"/>
        <v>4090867200</v>
      </c>
      <c r="U19" s="171">
        <f t="shared" si="9"/>
        <v>170101977.88549447</v>
      </c>
      <c r="V19" s="171">
        <f t="shared" si="10"/>
        <v>159600000</v>
      </c>
      <c r="W19" s="172">
        <f t="shared" si="16"/>
        <v>14707690054.632656</v>
      </c>
      <c r="X19" s="171">
        <f t="shared" si="11"/>
        <v>7353845027.316328</v>
      </c>
      <c r="Y19" s="172">
        <f t="shared" si="17"/>
        <v>1838461256.829082</v>
      </c>
      <c r="Z19" s="11">
        <f t="shared" si="12"/>
        <v>1.808577682912313</v>
      </c>
    </row>
    <row r="20" spans="1:26" ht="12.75">
      <c r="A20" t="s">
        <v>553</v>
      </c>
      <c r="B20" t="s">
        <v>299</v>
      </c>
      <c r="C20">
        <v>70</v>
      </c>
      <c r="D20">
        <v>345</v>
      </c>
      <c r="E20" s="241">
        <v>1257608</v>
      </c>
      <c r="F20" s="106">
        <f t="shared" si="18"/>
        <v>163489.04</v>
      </c>
      <c r="G20" s="172">
        <f t="shared" si="13"/>
        <v>817445.2000000001</v>
      </c>
      <c r="H20" s="27">
        <f t="shared" si="19"/>
        <v>298367498</v>
      </c>
      <c r="I20" s="172">
        <f t="shared" si="1"/>
        <v>700000000</v>
      </c>
      <c r="J20" s="172">
        <f t="shared" si="2"/>
        <v>4730.88</v>
      </c>
      <c r="K20" s="172">
        <f t="shared" si="3"/>
        <v>13814169.6</v>
      </c>
      <c r="L20" s="172">
        <f t="shared" si="4"/>
        <v>165.33440000000002</v>
      </c>
      <c r="M20" s="172">
        <f t="shared" si="5"/>
        <v>1322.6752000000001</v>
      </c>
      <c r="N20" s="225">
        <f t="shared" si="14"/>
        <v>482776.44800000003</v>
      </c>
      <c r="O20" s="172">
        <f t="shared" si="6"/>
        <v>665</v>
      </c>
      <c r="P20" s="172">
        <f t="shared" si="15"/>
        <v>242725</v>
      </c>
      <c r="Q20" s="172">
        <f t="shared" si="7"/>
        <v>34870256.548619136</v>
      </c>
      <c r="R20" s="172">
        <f t="shared" si="0"/>
        <v>418443078.58342963</v>
      </c>
      <c r="S20" s="172"/>
      <c r="T20" s="172">
        <f t="shared" si="8"/>
        <v>215308800</v>
      </c>
      <c r="U20" s="172">
        <f t="shared" si="9"/>
        <v>8952735.678183919</v>
      </c>
      <c r="V20" s="172">
        <f t="shared" si="10"/>
        <v>8400000</v>
      </c>
      <c r="W20" s="172">
        <f t="shared" si="16"/>
        <v>964011783.3096136</v>
      </c>
      <c r="X20" s="172">
        <f t="shared" si="11"/>
        <v>482005891.6548068</v>
      </c>
      <c r="Y20" s="172">
        <f t="shared" si="17"/>
        <v>120501472.9137017</v>
      </c>
      <c r="Z20">
        <f t="shared" si="12"/>
        <v>1.452264406139898</v>
      </c>
    </row>
    <row r="21" spans="1:26" ht="12.75">
      <c r="A21" t="s">
        <v>554</v>
      </c>
      <c r="B21" t="s">
        <v>300</v>
      </c>
      <c r="C21">
        <v>611</v>
      </c>
      <c r="D21">
        <v>2368</v>
      </c>
      <c r="E21" s="241">
        <v>1366332</v>
      </c>
      <c r="F21" s="106">
        <f t="shared" si="18"/>
        <v>177623.16</v>
      </c>
      <c r="G21" s="172">
        <f t="shared" si="13"/>
        <v>888115.8</v>
      </c>
      <c r="H21" s="27">
        <f t="shared" si="19"/>
        <v>324162267</v>
      </c>
      <c r="I21" s="172">
        <f t="shared" si="1"/>
        <v>6110000000</v>
      </c>
      <c r="J21" s="172">
        <f t="shared" si="2"/>
        <v>41293.824</v>
      </c>
      <c r="K21" s="172">
        <f t="shared" si="3"/>
        <v>120577966.08</v>
      </c>
      <c r="L21" s="172">
        <f t="shared" si="4"/>
        <v>1443.13312</v>
      </c>
      <c r="M21" s="172">
        <f t="shared" si="5"/>
        <v>11545.06496</v>
      </c>
      <c r="N21" s="225">
        <f t="shared" si="14"/>
        <v>4213948.7104</v>
      </c>
      <c r="O21" s="172">
        <f t="shared" si="6"/>
        <v>5804.5</v>
      </c>
      <c r="P21" s="172">
        <f t="shared" si="15"/>
        <v>2118642.5</v>
      </c>
      <c r="Q21" s="172">
        <f t="shared" si="7"/>
        <v>304367525.0172327</v>
      </c>
      <c r="R21" s="172">
        <f t="shared" si="0"/>
        <v>3652410300.206793</v>
      </c>
      <c r="S21" s="172"/>
      <c r="T21" s="172">
        <f t="shared" si="8"/>
        <v>1879338240</v>
      </c>
      <c r="U21" s="172">
        <f t="shared" si="9"/>
        <v>78144592.84814821</v>
      </c>
      <c r="V21" s="172">
        <f t="shared" si="10"/>
        <v>73320000</v>
      </c>
      <c r="W21" s="172">
        <f t="shared" si="16"/>
        <v>6134285957.345341</v>
      </c>
      <c r="X21" s="172">
        <f t="shared" si="11"/>
        <v>3067142978.6726704</v>
      </c>
      <c r="Y21" s="172">
        <f t="shared" si="17"/>
        <v>766785744.6681676</v>
      </c>
      <c r="Z21">
        <f t="shared" si="12"/>
        <v>1.9920818959160975</v>
      </c>
    </row>
    <row r="22" spans="1:26" s="11" customFormat="1" ht="12.75">
      <c r="A22" t="s">
        <v>555</v>
      </c>
      <c r="B22" s="11" t="s">
        <v>301</v>
      </c>
      <c r="C22" s="11">
        <v>2256</v>
      </c>
      <c r="D22" s="11">
        <v>5694</v>
      </c>
      <c r="E22" s="241">
        <v>12653544</v>
      </c>
      <c r="F22" s="106">
        <f t="shared" si="18"/>
        <v>1644960.72</v>
      </c>
      <c r="G22" s="172">
        <f t="shared" si="13"/>
        <v>8224803.6</v>
      </c>
      <c r="H22" s="27">
        <f t="shared" si="19"/>
        <v>3002053314</v>
      </c>
      <c r="I22" s="171">
        <f t="shared" si="1"/>
        <v>22560000000</v>
      </c>
      <c r="J22" s="171">
        <f t="shared" si="2"/>
        <v>152469.50400000002</v>
      </c>
      <c r="K22" s="171">
        <f t="shared" si="3"/>
        <v>445210951.68000007</v>
      </c>
      <c r="L22" s="171">
        <f t="shared" si="4"/>
        <v>5328.49152</v>
      </c>
      <c r="M22" s="171">
        <f t="shared" si="5"/>
        <v>42627.93216</v>
      </c>
      <c r="N22" s="226">
        <f t="shared" si="14"/>
        <v>15559195.2384</v>
      </c>
      <c r="O22" s="171">
        <f t="shared" si="6"/>
        <v>21432</v>
      </c>
      <c r="P22" s="171">
        <f t="shared" si="15"/>
        <v>7822680</v>
      </c>
      <c r="Q22" s="171">
        <f t="shared" si="7"/>
        <v>1123818553.9097824</v>
      </c>
      <c r="R22" s="171">
        <f t="shared" si="0"/>
        <v>13485822646.917389</v>
      </c>
      <c r="S22" s="171"/>
      <c r="T22" s="171">
        <f t="shared" si="8"/>
        <v>6939095040</v>
      </c>
      <c r="U22" s="171">
        <f t="shared" si="9"/>
        <v>288533881.2854703</v>
      </c>
      <c r="V22" s="171">
        <f t="shared" si="10"/>
        <v>270720000</v>
      </c>
      <c r="W22" s="172">
        <f t="shared" si="16"/>
        <v>24454817709.121258</v>
      </c>
      <c r="X22" s="171">
        <f t="shared" si="11"/>
        <v>12227408854.560629</v>
      </c>
      <c r="Y22" s="172">
        <f t="shared" si="17"/>
        <v>3056852213.640157</v>
      </c>
      <c r="Z22" s="11">
        <f t="shared" si="12"/>
        <v>1.8450352211446237</v>
      </c>
    </row>
    <row r="23" spans="1:26" ht="12.75">
      <c r="A23" t="s">
        <v>556</v>
      </c>
      <c r="B23" t="s">
        <v>302</v>
      </c>
      <c r="C23">
        <v>1273</v>
      </c>
      <c r="D23">
        <v>2844</v>
      </c>
      <c r="E23" s="241">
        <v>6195643</v>
      </c>
      <c r="F23" s="106">
        <f t="shared" si="18"/>
        <v>805433.5900000001</v>
      </c>
      <c r="G23" s="172">
        <f t="shared" si="13"/>
        <v>4027167.95</v>
      </c>
      <c r="H23" s="27">
        <f t="shared" si="19"/>
        <v>1469916301.75</v>
      </c>
      <c r="I23" s="172">
        <f t="shared" si="1"/>
        <v>12730000000</v>
      </c>
      <c r="J23" s="172">
        <f t="shared" si="2"/>
        <v>86034.43200000002</v>
      </c>
      <c r="K23" s="173">
        <f t="shared" si="3"/>
        <v>251220541.44000006</v>
      </c>
      <c r="L23" s="172">
        <f t="shared" si="4"/>
        <v>3006.7241599999998</v>
      </c>
      <c r="M23" s="172">
        <f t="shared" si="5"/>
        <v>24053.793279999998</v>
      </c>
      <c r="N23" s="225">
        <f t="shared" si="14"/>
        <v>8779634.5472</v>
      </c>
      <c r="O23" s="172">
        <f t="shared" si="6"/>
        <v>12093.5</v>
      </c>
      <c r="P23" s="172">
        <f t="shared" si="15"/>
        <v>4414127.5</v>
      </c>
      <c r="Q23" s="172">
        <f t="shared" si="7"/>
        <v>634140522.6627451</v>
      </c>
      <c r="R23" s="172">
        <f t="shared" si="0"/>
        <v>7609686271.952942</v>
      </c>
      <c r="S23" s="172"/>
      <c r="T23" s="172">
        <f t="shared" si="8"/>
        <v>3915544320</v>
      </c>
      <c r="U23" s="172">
        <f t="shared" si="9"/>
        <v>162811893.11897328</v>
      </c>
      <c r="V23" s="172">
        <f t="shared" si="10"/>
        <v>152760000</v>
      </c>
      <c r="W23" s="172">
        <f t="shared" si="16"/>
        <v>13575133090.309114</v>
      </c>
      <c r="X23" s="172">
        <f t="shared" si="11"/>
        <v>6787566545.154557</v>
      </c>
      <c r="Y23" s="172">
        <f t="shared" si="17"/>
        <v>1696891636.2886393</v>
      </c>
      <c r="Z23">
        <f t="shared" si="12"/>
        <v>1.8754880582478517</v>
      </c>
    </row>
    <row r="24" spans="1:26" ht="12.75">
      <c r="A24" t="s">
        <v>557</v>
      </c>
      <c r="B24" t="s">
        <v>303</v>
      </c>
      <c r="C24">
        <v>782</v>
      </c>
      <c r="D24">
        <v>3182</v>
      </c>
      <c r="E24" s="241">
        <v>2944062</v>
      </c>
      <c r="F24" s="106">
        <f t="shared" si="18"/>
        <v>382728.06</v>
      </c>
      <c r="G24" s="172">
        <f t="shared" si="13"/>
        <v>1913640.3</v>
      </c>
      <c r="H24" s="27">
        <f t="shared" si="19"/>
        <v>698478709.5</v>
      </c>
      <c r="I24" s="172">
        <f t="shared" si="1"/>
        <v>7820000000</v>
      </c>
      <c r="J24" s="172">
        <f t="shared" si="2"/>
        <v>52850.688</v>
      </c>
      <c r="K24" s="172">
        <f t="shared" si="3"/>
        <v>154324008.96</v>
      </c>
      <c r="L24" s="172">
        <f t="shared" si="4"/>
        <v>1847.0214400000002</v>
      </c>
      <c r="M24" s="172">
        <f t="shared" si="5"/>
        <v>14776.171520000002</v>
      </c>
      <c r="N24" s="225">
        <f t="shared" si="14"/>
        <v>5393302.604800001</v>
      </c>
      <c r="O24" s="172">
        <f t="shared" si="6"/>
        <v>7429</v>
      </c>
      <c r="P24" s="172">
        <f t="shared" si="15"/>
        <v>2711585</v>
      </c>
      <c r="Q24" s="172">
        <f t="shared" si="7"/>
        <v>389550580.3002881</v>
      </c>
      <c r="R24" s="172">
        <f t="shared" si="0"/>
        <v>4674606963.6034565</v>
      </c>
      <c r="S24" s="172"/>
      <c r="T24" s="172">
        <f t="shared" si="8"/>
        <v>2405306880</v>
      </c>
      <c r="U24" s="172">
        <f t="shared" si="9"/>
        <v>100014847.14771178</v>
      </c>
      <c r="V24" s="172">
        <f t="shared" si="10"/>
        <v>93840000</v>
      </c>
      <c r="W24" s="172">
        <f t="shared" si="16"/>
        <v>8134676296.8159685</v>
      </c>
      <c r="X24" s="172">
        <f t="shared" si="11"/>
        <v>4067338148.4079843</v>
      </c>
      <c r="Y24" s="172">
        <f t="shared" si="17"/>
        <v>1016834537.1019961</v>
      </c>
      <c r="Z24">
        <f t="shared" si="12"/>
        <v>1.9226333574111272</v>
      </c>
    </row>
    <row r="25" spans="1:26" ht="12.75">
      <c r="A25" t="s">
        <v>558</v>
      </c>
      <c r="B25" t="s">
        <v>304</v>
      </c>
      <c r="C25">
        <v>970</v>
      </c>
      <c r="D25">
        <v>3749</v>
      </c>
      <c r="E25" s="241">
        <v>2723507</v>
      </c>
      <c r="F25" s="106">
        <f t="shared" si="18"/>
        <v>354055.91000000003</v>
      </c>
      <c r="G25" s="172">
        <f t="shared" si="13"/>
        <v>1770279.5500000003</v>
      </c>
      <c r="H25" s="27">
        <f t="shared" si="19"/>
        <v>646152035.7500001</v>
      </c>
      <c r="I25" s="172">
        <f t="shared" si="1"/>
        <v>9700000000</v>
      </c>
      <c r="J25" s="172">
        <f t="shared" si="2"/>
        <v>65556.48000000001</v>
      </c>
      <c r="K25" s="172">
        <f t="shared" si="3"/>
        <v>191424921.60000002</v>
      </c>
      <c r="L25" s="172">
        <f t="shared" si="4"/>
        <v>2291.0624000000003</v>
      </c>
      <c r="M25" s="172">
        <f t="shared" si="5"/>
        <v>18328.499200000002</v>
      </c>
      <c r="N25" s="225">
        <f t="shared" si="14"/>
        <v>6689902.208000001</v>
      </c>
      <c r="O25" s="172">
        <f t="shared" si="6"/>
        <v>9215</v>
      </c>
      <c r="P25" s="172">
        <f t="shared" si="15"/>
        <v>3363475</v>
      </c>
      <c r="Q25" s="172">
        <f t="shared" si="7"/>
        <v>483202126.4594366</v>
      </c>
      <c r="R25" s="172">
        <f t="shared" si="0"/>
        <v>5798425517.513239</v>
      </c>
      <c r="S25" s="172"/>
      <c r="T25" s="172">
        <f t="shared" si="8"/>
        <v>2983564800</v>
      </c>
      <c r="U25" s="172">
        <f t="shared" si="9"/>
        <v>124059337.25483431</v>
      </c>
      <c r="V25" s="172">
        <f t="shared" si="10"/>
        <v>116400000</v>
      </c>
      <c r="W25" s="172">
        <f t="shared" si="16"/>
        <v>9870079989.326075</v>
      </c>
      <c r="X25" s="172">
        <f t="shared" si="11"/>
        <v>4935039994.663037</v>
      </c>
      <c r="Y25" s="172">
        <f t="shared" si="17"/>
        <v>1233759998.6657593</v>
      </c>
      <c r="Z25">
        <f t="shared" si="12"/>
        <v>1.9655362490455992</v>
      </c>
    </row>
    <row r="26" spans="1:26" ht="12.75">
      <c r="A26" t="s">
        <v>559</v>
      </c>
      <c r="B26" t="s">
        <v>305</v>
      </c>
      <c r="C26">
        <v>852</v>
      </c>
      <c r="D26">
        <v>2874</v>
      </c>
      <c r="E26" s="241">
        <v>4117827</v>
      </c>
      <c r="F26" s="106">
        <f t="shared" si="18"/>
        <v>535317.51</v>
      </c>
      <c r="G26" s="172">
        <f t="shared" si="13"/>
        <v>2676587.55</v>
      </c>
      <c r="H26" s="27">
        <f t="shared" si="19"/>
        <v>976954455.7499999</v>
      </c>
      <c r="I26" s="172">
        <f t="shared" si="1"/>
        <v>8520000000</v>
      </c>
      <c r="J26" s="172">
        <f t="shared" si="2"/>
        <v>57581.56800000001</v>
      </c>
      <c r="K26" s="172">
        <f t="shared" si="3"/>
        <v>168138178.56000003</v>
      </c>
      <c r="L26" s="172">
        <f t="shared" si="4"/>
        <v>2012.35584</v>
      </c>
      <c r="M26" s="172">
        <f t="shared" si="5"/>
        <v>16098.84672</v>
      </c>
      <c r="N26" s="225">
        <f t="shared" si="14"/>
        <v>5876079.0528</v>
      </c>
      <c r="O26" s="172">
        <f t="shared" si="6"/>
        <v>8094</v>
      </c>
      <c r="P26" s="172">
        <f t="shared" si="15"/>
        <v>2954310</v>
      </c>
      <c r="Q26" s="172">
        <f t="shared" si="7"/>
        <v>424420836.8489072</v>
      </c>
      <c r="R26" s="172">
        <f t="shared" si="0"/>
        <v>5093050042.186886</v>
      </c>
      <c r="S26" s="172"/>
      <c r="T26" s="172">
        <f t="shared" si="8"/>
        <v>2620615680</v>
      </c>
      <c r="U26" s="172">
        <f t="shared" si="9"/>
        <v>108967582.8258957</v>
      </c>
      <c r="V26" s="172">
        <f t="shared" si="10"/>
        <v>102240000</v>
      </c>
      <c r="W26" s="172">
        <f t="shared" si="16"/>
        <v>9078796328.375582</v>
      </c>
      <c r="X26" s="172">
        <f t="shared" si="11"/>
        <v>4539398164.187791</v>
      </c>
      <c r="Y26" s="172">
        <f t="shared" si="17"/>
        <v>1134849541.0469477</v>
      </c>
      <c r="Z26">
        <f t="shared" si="12"/>
        <v>1.8769007898923613</v>
      </c>
    </row>
    <row r="27" spans="1:26" ht="12.75">
      <c r="A27" t="s">
        <v>560</v>
      </c>
      <c r="B27" t="s">
        <v>306</v>
      </c>
      <c r="C27">
        <v>942</v>
      </c>
      <c r="D27">
        <v>2603</v>
      </c>
      <c r="E27" s="241">
        <v>4496334</v>
      </c>
      <c r="F27" s="106">
        <f t="shared" si="18"/>
        <v>584523.42</v>
      </c>
      <c r="G27" s="172">
        <f t="shared" si="13"/>
        <v>2922617.1</v>
      </c>
      <c r="H27" s="27">
        <f t="shared" si="19"/>
        <v>1066755241.5</v>
      </c>
      <c r="I27" s="172">
        <f t="shared" si="1"/>
        <v>9420000000</v>
      </c>
      <c r="J27" s="172">
        <f t="shared" si="2"/>
        <v>63664.128000000004</v>
      </c>
      <c r="K27" s="172">
        <f t="shared" si="3"/>
        <v>185899253.76000002</v>
      </c>
      <c r="L27" s="172">
        <f t="shared" si="4"/>
        <v>2224.92864</v>
      </c>
      <c r="M27" s="172">
        <f t="shared" si="5"/>
        <v>17799.42912</v>
      </c>
      <c r="N27" s="225">
        <f t="shared" si="14"/>
        <v>6496791.6288</v>
      </c>
      <c r="O27" s="172">
        <f t="shared" si="6"/>
        <v>8949</v>
      </c>
      <c r="P27" s="172">
        <f t="shared" si="15"/>
        <v>3266385</v>
      </c>
      <c r="Q27" s="172">
        <f t="shared" si="7"/>
        <v>469254023.83998895</v>
      </c>
      <c r="R27" s="172">
        <f t="shared" si="0"/>
        <v>5631048286.079867</v>
      </c>
      <c r="S27" s="172"/>
      <c r="T27" s="172">
        <f t="shared" si="8"/>
        <v>2897441280</v>
      </c>
      <c r="U27" s="172">
        <f t="shared" si="9"/>
        <v>120478242.98356074</v>
      </c>
      <c r="V27" s="172">
        <f t="shared" si="10"/>
        <v>113040000</v>
      </c>
      <c r="W27" s="172">
        <f t="shared" si="16"/>
        <v>10024425480.952229</v>
      </c>
      <c r="X27" s="172">
        <f t="shared" si="11"/>
        <v>5012212740.476114</v>
      </c>
      <c r="Y27" s="172">
        <f t="shared" si="17"/>
        <v>1253053185.1190286</v>
      </c>
      <c r="Z27">
        <f t="shared" si="12"/>
        <v>1.8794094520228177</v>
      </c>
    </row>
    <row r="28" spans="1:26" ht="12.75">
      <c r="A28" t="s">
        <v>561</v>
      </c>
      <c r="B28" t="s">
        <v>307</v>
      </c>
      <c r="C28">
        <v>380</v>
      </c>
      <c r="D28">
        <v>1289</v>
      </c>
      <c r="E28" s="241">
        <v>1305728</v>
      </c>
      <c r="F28" s="106">
        <f t="shared" si="18"/>
        <v>169744.64</v>
      </c>
      <c r="G28" s="172">
        <f t="shared" si="13"/>
        <v>848723.2000000001</v>
      </c>
      <c r="H28" s="27">
        <f t="shared" si="19"/>
        <v>309783968</v>
      </c>
      <c r="I28" s="172">
        <f t="shared" si="1"/>
        <v>3800000000</v>
      </c>
      <c r="J28" s="172">
        <f t="shared" si="2"/>
        <v>25681.920000000002</v>
      </c>
      <c r="K28" s="172">
        <f t="shared" si="3"/>
        <v>74991206.4</v>
      </c>
      <c r="L28" s="172">
        <f t="shared" si="4"/>
        <v>897.5296000000001</v>
      </c>
      <c r="M28" s="172">
        <f t="shared" si="5"/>
        <v>7180.236800000001</v>
      </c>
      <c r="N28" s="225">
        <f t="shared" si="14"/>
        <v>2620786.432</v>
      </c>
      <c r="O28" s="172">
        <f t="shared" si="6"/>
        <v>3610</v>
      </c>
      <c r="P28" s="172">
        <f t="shared" si="15"/>
        <v>1317650</v>
      </c>
      <c r="Q28" s="172">
        <f t="shared" si="7"/>
        <v>189295678.4067896</v>
      </c>
      <c r="R28" s="172">
        <f t="shared" si="0"/>
        <v>2271548140.8814754</v>
      </c>
      <c r="S28" s="172"/>
      <c r="T28" s="172">
        <f t="shared" si="8"/>
        <v>1168819200</v>
      </c>
      <c r="U28" s="172">
        <f t="shared" si="9"/>
        <v>48600565.11014128</v>
      </c>
      <c r="V28" s="172">
        <f t="shared" si="10"/>
        <v>45600000</v>
      </c>
      <c r="W28" s="172">
        <f t="shared" si="16"/>
        <v>3923281516.8236165</v>
      </c>
      <c r="X28" s="172">
        <f t="shared" si="11"/>
        <v>1961640758.4118083</v>
      </c>
      <c r="Y28" s="172">
        <f t="shared" si="17"/>
        <v>490410189.60295206</v>
      </c>
      <c r="Z28">
        <f t="shared" si="12"/>
        <v>1.9371538767763838</v>
      </c>
    </row>
    <row r="29" spans="1:26" ht="12.75">
      <c r="A29" t="s">
        <v>562</v>
      </c>
      <c r="B29" t="s">
        <v>308</v>
      </c>
      <c r="C29">
        <v>677</v>
      </c>
      <c r="D29">
        <v>1441</v>
      </c>
      <c r="E29" s="241">
        <v>5508909</v>
      </c>
      <c r="F29" s="106">
        <f t="shared" si="18"/>
        <v>716158.17</v>
      </c>
      <c r="G29" s="172">
        <f t="shared" si="13"/>
        <v>3580790.85</v>
      </c>
      <c r="H29" s="27">
        <f t="shared" si="19"/>
        <v>1306988660.25</v>
      </c>
      <c r="I29" s="172">
        <f t="shared" si="1"/>
        <v>6770000000</v>
      </c>
      <c r="J29" s="172">
        <f t="shared" si="2"/>
        <v>45754.368</v>
      </c>
      <c r="K29" s="172">
        <f t="shared" si="3"/>
        <v>133602754.56</v>
      </c>
      <c r="L29" s="172">
        <f t="shared" si="4"/>
        <v>1599.01984</v>
      </c>
      <c r="M29" s="172">
        <f t="shared" si="5"/>
        <v>12792.15872</v>
      </c>
      <c r="N29" s="225">
        <f t="shared" si="14"/>
        <v>4669137.9328</v>
      </c>
      <c r="O29" s="172">
        <f t="shared" si="6"/>
        <v>6431.5</v>
      </c>
      <c r="P29" s="172">
        <f t="shared" si="15"/>
        <v>2347497.5</v>
      </c>
      <c r="Q29" s="172">
        <f t="shared" si="7"/>
        <v>337245195.47735935</v>
      </c>
      <c r="R29" s="172">
        <f t="shared" si="0"/>
        <v>4046942345.7283125</v>
      </c>
      <c r="S29" s="172"/>
      <c r="T29" s="172">
        <f t="shared" si="8"/>
        <v>2082343680</v>
      </c>
      <c r="U29" s="172">
        <f t="shared" si="9"/>
        <v>86585743.6304359</v>
      </c>
      <c r="V29" s="172">
        <f t="shared" si="10"/>
        <v>81240000</v>
      </c>
      <c r="W29" s="172">
        <f t="shared" si="16"/>
        <v>7744719819.601548</v>
      </c>
      <c r="X29" s="172">
        <f t="shared" si="11"/>
        <v>3872359909.800774</v>
      </c>
      <c r="Y29" s="172">
        <f t="shared" si="17"/>
        <v>968089977.4501935</v>
      </c>
      <c r="Z29">
        <f t="shared" si="12"/>
        <v>1.7482879065206272</v>
      </c>
    </row>
    <row r="30" spans="1:26" ht="12.75">
      <c r="A30" t="s">
        <v>563</v>
      </c>
      <c r="B30" t="s">
        <v>309</v>
      </c>
      <c r="C30">
        <v>772</v>
      </c>
      <c r="D30">
        <v>1964</v>
      </c>
      <c r="E30" s="241">
        <v>6433422</v>
      </c>
      <c r="F30" s="106">
        <f t="shared" si="18"/>
        <v>836344.86</v>
      </c>
      <c r="G30" s="172">
        <f t="shared" si="13"/>
        <v>4181724.3</v>
      </c>
      <c r="H30" s="27">
        <f t="shared" si="19"/>
        <v>1526329369.5</v>
      </c>
      <c r="I30" s="172">
        <f t="shared" si="1"/>
        <v>7720000000</v>
      </c>
      <c r="J30" s="172">
        <f t="shared" si="2"/>
        <v>52174.848000000005</v>
      </c>
      <c r="K30" s="172">
        <f t="shared" si="3"/>
        <v>152350556.16000003</v>
      </c>
      <c r="L30" s="172">
        <f t="shared" si="4"/>
        <v>1823.40224</v>
      </c>
      <c r="M30" s="172">
        <f t="shared" si="5"/>
        <v>14587.21792</v>
      </c>
      <c r="N30" s="225">
        <f t="shared" si="14"/>
        <v>5324334.5408</v>
      </c>
      <c r="O30" s="172">
        <f t="shared" si="6"/>
        <v>7334</v>
      </c>
      <c r="P30" s="172">
        <f t="shared" si="15"/>
        <v>2676910</v>
      </c>
      <c r="Q30" s="172">
        <f t="shared" si="7"/>
        <v>384569115.07905674</v>
      </c>
      <c r="R30" s="172">
        <f t="shared" si="0"/>
        <v>4614829380.948681</v>
      </c>
      <c r="S30" s="172"/>
      <c r="T30" s="172">
        <f t="shared" si="8"/>
        <v>2374548480</v>
      </c>
      <c r="U30" s="172">
        <f t="shared" si="9"/>
        <v>98735884.90797122</v>
      </c>
      <c r="V30" s="172">
        <f t="shared" si="10"/>
        <v>92640000</v>
      </c>
      <c r="W30" s="172">
        <f t="shared" si="16"/>
        <v>8867434916.057451</v>
      </c>
      <c r="X30" s="172">
        <f t="shared" si="11"/>
        <v>4433717458.028726</v>
      </c>
      <c r="Y30" s="172">
        <f t="shared" si="17"/>
        <v>1108429364.5071814</v>
      </c>
      <c r="Z30">
        <f t="shared" si="12"/>
        <v>1.7412025175443606</v>
      </c>
    </row>
    <row r="31" spans="1:26" s="11" customFormat="1" ht="12.75">
      <c r="A31" t="s">
        <v>564</v>
      </c>
      <c r="B31" s="11" t="s">
        <v>310</v>
      </c>
      <c r="C31" s="11">
        <v>1456</v>
      </c>
      <c r="D31" s="11">
        <v>4730</v>
      </c>
      <c r="E31" s="241">
        <v>10079985</v>
      </c>
      <c r="F31" s="106">
        <f t="shared" si="18"/>
        <v>1310398.05</v>
      </c>
      <c r="G31" s="172">
        <f t="shared" si="13"/>
        <v>6551990.25</v>
      </c>
      <c r="H31" s="27">
        <f t="shared" si="19"/>
        <v>2391476441.25</v>
      </c>
      <c r="I31" s="171">
        <f t="shared" si="1"/>
        <v>14560000000</v>
      </c>
      <c r="J31" s="171">
        <f t="shared" si="2"/>
        <v>98402.304</v>
      </c>
      <c r="K31" s="171">
        <f t="shared" si="3"/>
        <v>287334727.68</v>
      </c>
      <c r="L31" s="171">
        <f t="shared" si="4"/>
        <v>3438.9555200000004</v>
      </c>
      <c r="M31" s="171">
        <f t="shared" si="5"/>
        <v>27511.644160000003</v>
      </c>
      <c r="N31" s="226">
        <f t="shared" si="14"/>
        <v>10041750.118400002</v>
      </c>
      <c r="O31" s="171">
        <f t="shared" si="6"/>
        <v>13832</v>
      </c>
      <c r="P31" s="171">
        <f t="shared" si="15"/>
        <v>5048680</v>
      </c>
      <c r="Q31" s="171">
        <f t="shared" si="7"/>
        <v>725301336.211278</v>
      </c>
      <c r="R31" s="171">
        <f t="shared" si="0"/>
        <v>8703616034.535336</v>
      </c>
      <c r="S31" s="171"/>
      <c r="T31" s="171">
        <f t="shared" si="8"/>
        <v>4478423040</v>
      </c>
      <c r="U31" s="171">
        <f t="shared" si="9"/>
        <v>186216902.10622552</v>
      </c>
      <c r="V31" s="171">
        <f t="shared" si="10"/>
        <v>174720000</v>
      </c>
      <c r="W31" s="172">
        <f t="shared" si="16"/>
        <v>16236877575.689962</v>
      </c>
      <c r="X31" s="171">
        <f t="shared" si="11"/>
        <v>8118438787.844981</v>
      </c>
      <c r="Y31" s="172">
        <f t="shared" si="17"/>
        <v>2029609696.9612453</v>
      </c>
      <c r="Z31" s="11">
        <f t="shared" si="12"/>
        <v>1.7934482701032861</v>
      </c>
    </row>
    <row r="32" spans="1:26" ht="12.75">
      <c r="A32" t="s">
        <v>565</v>
      </c>
      <c r="B32" t="s">
        <v>311</v>
      </c>
      <c r="C32">
        <v>1058</v>
      </c>
      <c r="D32">
        <v>3962</v>
      </c>
      <c r="E32" s="241">
        <v>5059375</v>
      </c>
      <c r="F32" s="106">
        <f t="shared" si="18"/>
        <v>657718.75</v>
      </c>
      <c r="G32" s="172">
        <f t="shared" si="13"/>
        <v>3288593.75</v>
      </c>
      <c r="H32" s="27">
        <f t="shared" si="19"/>
        <v>1200336718.75</v>
      </c>
      <c r="I32" s="172">
        <f t="shared" si="1"/>
        <v>10580000000</v>
      </c>
      <c r="J32" s="172">
        <f t="shared" si="2"/>
        <v>71503.87200000002</v>
      </c>
      <c r="K32" s="172">
        <f t="shared" si="3"/>
        <v>208791306.24000004</v>
      </c>
      <c r="L32" s="172">
        <f t="shared" si="4"/>
        <v>2498.91136</v>
      </c>
      <c r="M32" s="172">
        <f t="shared" si="5"/>
        <v>19991.29088</v>
      </c>
      <c r="N32" s="225">
        <f t="shared" si="14"/>
        <v>7296821.1712</v>
      </c>
      <c r="O32" s="172">
        <f t="shared" si="6"/>
        <v>10051</v>
      </c>
      <c r="P32" s="172">
        <f t="shared" si="15"/>
        <v>3668615</v>
      </c>
      <c r="Q32" s="172">
        <f t="shared" si="7"/>
        <v>527039020.40627205</v>
      </c>
      <c r="R32" s="172">
        <f t="shared" si="0"/>
        <v>6324468244.875265</v>
      </c>
      <c r="S32" s="172"/>
      <c r="T32" s="172">
        <f t="shared" si="8"/>
        <v>3254238720</v>
      </c>
      <c r="U32" s="172">
        <f t="shared" si="9"/>
        <v>135314204.96455124</v>
      </c>
      <c r="V32" s="172">
        <f t="shared" si="10"/>
        <v>126960000</v>
      </c>
      <c r="W32" s="172">
        <f t="shared" si="16"/>
        <v>11261074631.001017</v>
      </c>
      <c r="X32" s="172">
        <f t="shared" si="11"/>
        <v>5630537315.500508</v>
      </c>
      <c r="Y32" s="172">
        <f t="shared" si="17"/>
        <v>1407634328.875127</v>
      </c>
      <c r="Z32">
        <f t="shared" si="12"/>
        <v>1.8790391408780718</v>
      </c>
    </row>
    <row r="33" spans="1:26" s="11" customFormat="1" ht="12.75">
      <c r="A33" t="s">
        <v>566</v>
      </c>
      <c r="B33" s="11" t="s">
        <v>312</v>
      </c>
      <c r="C33" s="11">
        <v>721</v>
      </c>
      <c r="D33" s="11">
        <v>2609</v>
      </c>
      <c r="E33" s="241">
        <v>2881281</v>
      </c>
      <c r="F33" s="106">
        <f t="shared" si="18"/>
        <v>374566.53</v>
      </c>
      <c r="G33" s="172">
        <f t="shared" si="13"/>
        <v>1872832.6500000001</v>
      </c>
      <c r="H33" s="27">
        <f t="shared" si="19"/>
        <v>683583917.25</v>
      </c>
      <c r="I33" s="171">
        <f t="shared" si="1"/>
        <v>7210000000</v>
      </c>
      <c r="J33" s="171">
        <f t="shared" si="2"/>
        <v>48728.064000000006</v>
      </c>
      <c r="K33" s="171">
        <f t="shared" si="3"/>
        <v>142285946.88000003</v>
      </c>
      <c r="L33" s="171">
        <f t="shared" si="4"/>
        <v>1702.9443199999998</v>
      </c>
      <c r="M33" s="171">
        <f t="shared" si="5"/>
        <v>13623.554559999999</v>
      </c>
      <c r="N33" s="226">
        <f t="shared" si="14"/>
        <v>4972597.414399999</v>
      </c>
      <c r="O33" s="171">
        <f t="shared" si="6"/>
        <v>6849.5</v>
      </c>
      <c r="P33" s="171">
        <f t="shared" si="15"/>
        <v>2500067.5</v>
      </c>
      <c r="Q33" s="171">
        <f t="shared" si="7"/>
        <v>359163642.4507771</v>
      </c>
      <c r="R33" s="171">
        <f t="shared" si="0"/>
        <v>4309963709.409326</v>
      </c>
      <c r="S33" s="171"/>
      <c r="T33" s="171">
        <f t="shared" si="8"/>
        <v>2217680640</v>
      </c>
      <c r="U33" s="171">
        <f t="shared" si="9"/>
        <v>92213177.48529437</v>
      </c>
      <c r="V33" s="171">
        <f t="shared" si="10"/>
        <v>86520000</v>
      </c>
      <c r="W33" s="172">
        <f t="shared" si="16"/>
        <v>7539720055.93902</v>
      </c>
      <c r="X33" s="171">
        <f t="shared" si="11"/>
        <v>3769860027.96951</v>
      </c>
      <c r="Y33" s="172">
        <f t="shared" si="17"/>
        <v>942465006.9923775</v>
      </c>
      <c r="Z33" s="11">
        <f t="shared" si="12"/>
        <v>1.9125378519380702</v>
      </c>
    </row>
    <row r="34" spans="1:26" ht="12.75">
      <c r="A34" t="s">
        <v>567</v>
      </c>
      <c r="B34" t="s">
        <v>313</v>
      </c>
      <c r="C34">
        <v>1469</v>
      </c>
      <c r="D34">
        <v>4383</v>
      </c>
      <c r="E34" s="241">
        <v>5704484</v>
      </c>
      <c r="F34" s="106">
        <f t="shared" si="18"/>
        <v>741582.92</v>
      </c>
      <c r="G34" s="172">
        <f t="shared" si="13"/>
        <v>3707914.6</v>
      </c>
      <c r="H34" s="27">
        <f t="shared" si="19"/>
        <v>1353388829</v>
      </c>
      <c r="I34" s="172">
        <f t="shared" si="1"/>
        <v>14690000000</v>
      </c>
      <c r="J34" s="172">
        <f t="shared" si="2"/>
        <v>99280.89600000001</v>
      </c>
      <c r="K34" s="172">
        <f t="shared" si="3"/>
        <v>289900216.32000005</v>
      </c>
      <c r="L34" s="172">
        <f t="shared" si="4"/>
        <v>3469.6604800000005</v>
      </c>
      <c r="M34" s="172">
        <f t="shared" si="5"/>
        <v>27757.283840000004</v>
      </c>
      <c r="N34" s="225">
        <f t="shared" si="14"/>
        <v>10131408.6016</v>
      </c>
      <c r="O34" s="172">
        <f t="shared" si="6"/>
        <v>13955.5</v>
      </c>
      <c r="P34" s="172">
        <f t="shared" si="15"/>
        <v>5093757.5</v>
      </c>
      <c r="Q34" s="172">
        <f t="shared" si="7"/>
        <v>731777240.9988787</v>
      </c>
      <c r="R34" s="172">
        <f t="shared" si="0"/>
        <v>8781326891.986546</v>
      </c>
      <c r="S34" s="172"/>
      <c r="T34" s="172">
        <f t="shared" si="8"/>
        <v>4518408960</v>
      </c>
      <c r="U34" s="172">
        <f t="shared" si="9"/>
        <v>187879553.01788825</v>
      </c>
      <c r="V34" s="172">
        <f t="shared" si="10"/>
        <v>176280000</v>
      </c>
      <c r="W34" s="172">
        <f t="shared" si="16"/>
        <v>15322409616.426035</v>
      </c>
      <c r="X34" s="172">
        <f t="shared" si="11"/>
        <v>7661204808.213017</v>
      </c>
      <c r="Y34" s="172">
        <f t="shared" si="17"/>
        <v>1915301202.0532544</v>
      </c>
      <c r="Z34">
        <f t="shared" si="12"/>
        <v>1.9174529813185421</v>
      </c>
    </row>
    <row r="35" spans="1:26" ht="12.75">
      <c r="A35" t="s">
        <v>568</v>
      </c>
      <c r="B35" t="s">
        <v>314</v>
      </c>
      <c r="C35">
        <v>1191</v>
      </c>
      <c r="D35">
        <v>3873</v>
      </c>
      <c r="E35" s="241">
        <v>917621</v>
      </c>
      <c r="F35" s="106">
        <f t="shared" si="18"/>
        <v>119290.73000000001</v>
      </c>
      <c r="G35" s="172">
        <f t="shared" si="13"/>
        <v>596453.65</v>
      </c>
      <c r="H35" s="27">
        <f t="shared" si="19"/>
        <v>217705582.25</v>
      </c>
      <c r="I35" s="172">
        <f t="shared" si="1"/>
        <v>11910000000</v>
      </c>
      <c r="J35" s="172">
        <f t="shared" si="2"/>
        <v>80492.54400000001</v>
      </c>
      <c r="K35" s="172">
        <f t="shared" si="3"/>
        <v>235038228.48000002</v>
      </c>
      <c r="L35" s="172">
        <f t="shared" si="4"/>
        <v>2813.0467200000003</v>
      </c>
      <c r="M35" s="172">
        <f t="shared" si="5"/>
        <v>22504.373760000002</v>
      </c>
      <c r="N35" s="225">
        <f t="shared" si="14"/>
        <v>8214096.4224000005</v>
      </c>
      <c r="O35" s="172">
        <f t="shared" si="6"/>
        <v>11314.5</v>
      </c>
      <c r="P35" s="172">
        <f t="shared" si="15"/>
        <v>4129792.5</v>
      </c>
      <c r="Q35" s="172">
        <f t="shared" si="7"/>
        <v>593292507.8486484</v>
      </c>
      <c r="R35" s="172">
        <f t="shared" si="0"/>
        <v>7119510094.183781</v>
      </c>
      <c r="S35" s="172"/>
      <c r="T35" s="172">
        <f t="shared" si="8"/>
        <v>3663325440</v>
      </c>
      <c r="U35" s="172">
        <f t="shared" si="9"/>
        <v>152324402.7531007</v>
      </c>
      <c r="V35" s="172">
        <f t="shared" si="10"/>
        <v>142920000</v>
      </c>
      <c r="W35" s="172">
        <f t="shared" si="16"/>
        <v>11543167636.589283</v>
      </c>
      <c r="X35" s="172">
        <f t="shared" si="11"/>
        <v>5771583818.2946415</v>
      </c>
      <c r="Y35" s="172">
        <f t="shared" si="17"/>
        <v>1442895954.5736604</v>
      </c>
      <c r="Z35">
        <f t="shared" si="12"/>
        <v>2.063558353297745</v>
      </c>
    </row>
    <row r="36" spans="1:26" ht="12.75">
      <c r="A36" t="s">
        <v>569</v>
      </c>
      <c r="B36" t="s">
        <v>315</v>
      </c>
      <c r="C36">
        <v>499</v>
      </c>
      <c r="D36">
        <v>2974</v>
      </c>
      <c r="E36" s="241">
        <v>1739291</v>
      </c>
      <c r="F36" s="106">
        <f t="shared" si="18"/>
        <v>226107.83000000002</v>
      </c>
      <c r="G36" s="172">
        <f t="shared" si="13"/>
        <v>1130539.1500000001</v>
      </c>
      <c r="H36" s="27">
        <f t="shared" si="19"/>
        <v>412646789.75000006</v>
      </c>
      <c r="I36" s="172">
        <f t="shared" si="1"/>
        <v>4990000000</v>
      </c>
      <c r="J36" s="172">
        <f t="shared" si="2"/>
        <v>33724.416000000005</v>
      </c>
      <c r="K36" s="172">
        <f t="shared" si="3"/>
        <v>98475294.72000001</v>
      </c>
      <c r="L36" s="172">
        <f t="shared" si="4"/>
        <v>1178.59808</v>
      </c>
      <c r="M36" s="172">
        <f t="shared" si="5"/>
        <v>9428.78464</v>
      </c>
      <c r="N36" s="225">
        <f t="shared" si="14"/>
        <v>3441506.3936</v>
      </c>
      <c r="O36" s="172">
        <f t="shared" si="6"/>
        <v>4740.5</v>
      </c>
      <c r="P36" s="172">
        <f t="shared" si="15"/>
        <v>1730282.5</v>
      </c>
      <c r="Q36" s="172">
        <f t="shared" si="7"/>
        <v>248575114.53944212</v>
      </c>
      <c r="R36" s="172">
        <f t="shared" si="0"/>
        <v>2982901374.4733057</v>
      </c>
      <c r="S36" s="172"/>
      <c r="T36" s="172">
        <f t="shared" si="8"/>
        <v>1534844160</v>
      </c>
      <c r="U36" s="172">
        <f t="shared" si="9"/>
        <v>63820215.76305394</v>
      </c>
      <c r="V36" s="172">
        <f t="shared" si="10"/>
        <v>59880000</v>
      </c>
      <c r="W36" s="172">
        <f t="shared" si="16"/>
        <v>5157739623.59996</v>
      </c>
      <c r="X36" s="172">
        <f t="shared" si="11"/>
        <v>2578869811.79998</v>
      </c>
      <c r="Y36" s="172">
        <f t="shared" si="17"/>
        <v>644717452.949995</v>
      </c>
      <c r="Z36">
        <f t="shared" si="12"/>
        <v>1.9349561490725726</v>
      </c>
    </row>
    <row r="37" spans="1:26" ht="12.75">
      <c r="A37" t="s">
        <v>570</v>
      </c>
      <c r="B37" t="s">
        <v>316</v>
      </c>
      <c r="C37">
        <v>600</v>
      </c>
      <c r="D37">
        <v>2131</v>
      </c>
      <c r="E37" s="241">
        <v>2241154</v>
      </c>
      <c r="F37" s="106">
        <f t="shared" si="18"/>
        <v>291350.02</v>
      </c>
      <c r="G37" s="172">
        <f t="shared" si="13"/>
        <v>1456750.1</v>
      </c>
      <c r="H37" s="27">
        <f t="shared" si="19"/>
        <v>531713786.50000006</v>
      </c>
      <c r="I37" s="172">
        <f t="shared" si="1"/>
        <v>6000000000</v>
      </c>
      <c r="J37" s="172">
        <f t="shared" si="2"/>
        <v>40550.4</v>
      </c>
      <c r="K37" s="172">
        <f t="shared" si="3"/>
        <v>118407168</v>
      </c>
      <c r="L37" s="172">
        <f t="shared" si="4"/>
        <v>1417.152</v>
      </c>
      <c r="M37" s="172">
        <f t="shared" si="5"/>
        <v>11337.216</v>
      </c>
      <c r="N37" s="225">
        <f t="shared" si="14"/>
        <v>4138083.8400000003</v>
      </c>
      <c r="O37" s="172">
        <f t="shared" si="6"/>
        <v>5700</v>
      </c>
      <c r="P37" s="172">
        <f t="shared" si="15"/>
        <v>2080500</v>
      </c>
      <c r="Q37" s="172">
        <f t="shared" si="7"/>
        <v>298887913.2738783</v>
      </c>
      <c r="R37" s="172">
        <f t="shared" si="0"/>
        <v>3586654959.286539</v>
      </c>
      <c r="S37" s="172"/>
      <c r="T37" s="172">
        <f t="shared" si="8"/>
        <v>1845504000</v>
      </c>
      <c r="U37" s="172">
        <f t="shared" si="9"/>
        <v>76737734.3844336</v>
      </c>
      <c r="V37" s="172">
        <f t="shared" si="10"/>
        <v>72000000</v>
      </c>
      <c r="W37" s="172">
        <f t="shared" si="16"/>
        <v>6237236232.010973</v>
      </c>
      <c r="X37" s="172">
        <f t="shared" si="11"/>
        <v>3118618116.0054865</v>
      </c>
      <c r="Y37" s="172">
        <f t="shared" si="17"/>
        <v>779654529.0013716</v>
      </c>
      <c r="Z37">
        <f t="shared" si="12"/>
        <v>1.9239290534504945</v>
      </c>
    </row>
    <row r="38" spans="1:26" ht="12.75">
      <c r="A38" t="s">
        <v>571</v>
      </c>
      <c r="B38" t="s">
        <v>317</v>
      </c>
      <c r="C38">
        <v>261</v>
      </c>
      <c r="D38">
        <v>799</v>
      </c>
      <c r="E38" s="241">
        <v>1287687</v>
      </c>
      <c r="F38" s="106">
        <f t="shared" si="18"/>
        <v>167399.31</v>
      </c>
      <c r="G38" s="172">
        <f t="shared" si="13"/>
        <v>836996.55</v>
      </c>
      <c r="H38" s="27">
        <f t="shared" si="19"/>
        <v>305503740.75</v>
      </c>
      <c r="I38" s="172">
        <f t="shared" si="1"/>
        <v>2610000000</v>
      </c>
      <c r="J38" s="172">
        <f t="shared" si="2"/>
        <v>17639.424000000003</v>
      </c>
      <c r="K38" s="172">
        <f t="shared" si="3"/>
        <v>51507118.080000006</v>
      </c>
      <c r="L38" s="172">
        <f t="shared" si="4"/>
        <v>616.4611199999999</v>
      </c>
      <c r="M38" s="172">
        <f t="shared" si="5"/>
        <v>4931.6889599999995</v>
      </c>
      <c r="N38" s="225">
        <f t="shared" si="14"/>
        <v>1800066.4703999998</v>
      </c>
      <c r="O38" s="172">
        <f t="shared" si="6"/>
        <v>2479.5</v>
      </c>
      <c r="P38" s="172">
        <f t="shared" si="15"/>
        <v>905017.5</v>
      </c>
      <c r="Q38" s="172">
        <f t="shared" si="7"/>
        <v>130016242.27413706</v>
      </c>
      <c r="R38" s="172">
        <f t="shared" si="0"/>
        <v>1560194907.2896447</v>
      </c>
      <c r="S38" s="172"/>
      <c r="T38" s="172">
        <f t="shared" si="8"/>
        <v>802794240</v>
      </c>
      <c r="U38" s="172">
        <f t="shared" si="9"/>
        <v>33380914.457228612</v>
      </c>
      <c r="V38" s="172">
        <f t="shared" si="10"/>
        <v>31320000</v>
      </c>
      <c r="W38" s="172">
        <f t="shared" si="16"/>
        <v>2787406004.5472736</v>
      </c>
      <c r="X38" s="172">
        <f t="shared" si="11"/>
        <v>1393703002.2736368</v>
      </c>
      <c r="Y38" s="172">
        <f t="shared" si="17"/>
        <v>348425750.5684092</v>
      </c>
      <c r="Z38">
        <f t="shared" si="12"/>
        <v>1.8727088882940914</v>
      </c>
    </row>
    <row r="39" spans="1:26" ht="12.75">
      <c r="A39" t="s">
        <v>572</v>
      </c>
      <c r="B39" t="s">
        <v>318</v>
      </c>
      <c r="C39">
        <v>743</v>
      </c>
      <c r="D39">
        <v>2069</v>
      </c>
      <c r="E39" s="241">
        <v>8638396</v>
      </c>
      <c r="F39" s="106">
        <f t="shared" si="18"/>
        <v>1122991.48</v>
      </c>
      <c r="G39" s="172">
        <f t="shared" si="13"/>
        <v>5614957.4</v>
      </c>
      <c r="H39" s="27">
        <f t="shared" si="19"/>
        <v>2049459451.0000002</v>
      </c>
      <c r="I39" s="172">
        <f t="shared" si="1"/>
        <v>7430000000</v>
      </c>
      <c r="J39" s="172">
        <f t="shared" si="2"/>
        <v>50214.912000000004</v>
      </c>
      <c r="K39" s="172">
        <f t="shared" si="3"/>
        <v>146627543.04000002</v>
      </c>
      <c r="L39" s="172">
        <f t="shared" si="4"/>
        <v>1754.90656</v>
      </c>
      <c r="M39" s="172">
        <f t="shared" si="5"/>
        <v>14039.25248</v>
      </c>
      <c r="N39" s="225">
        <f t="shared" si="14"/>
        <v>5124327.1552</v>
      </c>
      <c r="O39" s="172">
        <f t="shared" si="6"/>
        <v>7058.5</v>
      </c>
      <c r="P39" s="172">
        <f t="shared" si="15"/>
        <v>2576352.5</v>
      </c>
      <c r="Q39" s="172">
        <f t="shared" si="7"/>
        <v>370122865.937486</v>
      </c>
      <c r="R39" s="172">
        <f t="shared" si="0"/>
        <v>4441474391.249832</v>
      </c>
      <c r="S39" s="172"/>
      <c r="T39" s="172">
        <f t="shared" si="8"/>
        <v>2285349120</v>
      </c>
      <c r="U39" s="172">
        <f t="shared" si="9"/>
        <v>95026894.4127236</v>
      </c>
      <c r="V39" s="172">
        <f t="shared" si="10"/>
        <v>89160000</v>
      </c>
      <c r="W39" s="172">
        <f t="shared" si="16"/>
        <v>9114798079.357756</v>
      </c>
      <c r="X39" s="172">
        <f t="shared" si="11"/>
        <v>4557399039.678878</v>
      </c>
      <c r="Y39" s="172">
        <f t="shared" si="17"/>
        <v>1139349759.9197195</v>
      </c>
      <c r="Z39">
        <f t="shared" si="12"/>
        <v>1.630315874320176</v>
      </c>
    </row>
    <row r="40" spans="1:26" ht="12.75">
      <c r="A40" t="s">
        <v>573</v>
      </c>
      <c r="B40" t="s">
        <v>319</v>
      </c>
      <c r="C40">
        <v>1011</v>
      </c>
      <c r="D40">
        <v>2949</v>
      </c>
      <c r="E40" s="241">
        <v>1874614</v>
      </c>
      <c r="F40" s="106">
        <f t="shared" si="18"/>
        <v>243699.82</v>
      </c>
      <c r="G40" s="172">
        <f t="shared" si="13"/>
        <v>1218499.1</v>
      </c>
      <c r="H40" s="27">
        <f t="shared" si="19"/>
        <v>444752171.50000006</v>
      </c>
      <c r="I40" s="172">
        <f t="shared" si="1"/>
        <v>10110000000</v>
      </c>
      <c r="J40" s="172">
        <f t="shared" si="2"/>
        <v>68327.424</v>
      </c>
      <c r="K40" s="172">
        <f t="shared" si="3"/>
        <v>199516078.07999998</v>
      </c>
      <c r="L40" s="172">
        <f t="shared" si="4"/>
        <v>2387.90112</v>
      </c>
      <c r="M40" s="172">
        <f t="shared" si="5"/>
        <v>19103.20896</v>
      </c>
      <c r="N40" s="225">
        <f t="shared" si="14"/>
        <v>6972671.2704</v>
      </c>
      <c r="O40" s="172">
        <f t="shared" si="6"/>
        <v>9604.5</v>
      </c>
      <c r="P40" s="172">
        <f t="shared" si="15"/>
        <v>3505642.5</v>
      </c>
      <c r="Q40" s="172">
        <f t="shared" si="7"/>
        <v>503626133.86648494</v>
      </c>
      <c r="R40" s="172">
        <f aca="true" t="shared" si="20" ref="R40:R60">SUM(Q40*12)</f>
        <v>6043513606.3978195</v>
      </c>
      <c r="S40" s="172"/>
      <c r="T40" s="172">
        <f t="shared" si="8"/>
        <v>3109674240</v>
      </c>
      <c r="U40" s="172">
        <f t="shared" si="9"/>
        <v>129303082.4377706</v>
      </c>
      <c r="V40" s="172">
        <f t="shared" si="10"/>
        <v>121320000</v>
      </c>
      <c r="W40" s="172">
        <f t="shared" si="16"/>
        <v>10058557492.18599</v>
      </c>
      <c r="X40" s="172">
        <f t="shared" si="11"/>
        <v>5029278746.092995</v>
      </c>
      <c r="Y40" s="172">
        <f t="shared" si="17"/>
        <v>1257319686.5232487</v>
      </c>
      <c r="Z40">
        <f t="shared" si="12"/>
        <v>2.010228605414638</v>
      </c>
    </row>
    <row r="41" spans="1:26" ht="12.75">
      <c r="A41" t="s">
        <v>574</v>
      </c>
      <c r="B41" t="s">
        <v>320</v>
      </c>
      <c r="C41">
        <v>2354</v>
      </c>
      <c r="D41">
        <v>5144</v>
      </c>
      <c r="E41" s="241">
        <v>19190115</v>
      </c>
      <c r="F41" s="106">
        <f t="shared" si="18"/>
        <v>2494714.95</v>
      </c>
      <c r="G41" s="172">
        <f t="shared" si="13"/>
        <v>12473574.75</v>
      </c>
      <c r="H41" s="27">
        <f t="shared" si="19"/>
        <v>4552854783.75</v>
      </c>
      <c r="I41" s="172">
        <f aca="true" t="shared" si="21" ref="I41:I60">SUM(C41*$I$8)</f>
        <v>23540000000</v>
      </c>
      <c r="J41" s="172">
        <f aca="true" t="shared" si="22" ref="J41:J60">SUM(C41*$J$8)*$J$4</f>
        <v>159092.73600000003</v>
      </c>
      <c r="K41" s="172">
        <f aca="true" t="shared" si="23" ref="K41:K60">SUM(J41*365)*8</f>
        <v>464550789.1200001</v>
      </c>
      <c r="L41" s="172">
        <f aca="true" t="shared" si="24" ref="L41:L60">SUM($L$8*C41)*$L$4</f>
        <v>5559.95968</v>
      </c>
      <c r="M41" s="172">
        <f aca="true" t="shared" si="25" ref="M41:M60">SUM(L41*8)</f>
        <v>44479.67744</v>
      </c>
      <c r="N41" s="225">
        <f t="shared" si="14"/>
        <v>16235082.2656</v>
      </c>
      <c r="O41" s="172">
        <f aca="true" t="shared" si="26" ref="O41:O60">SUM(C41*$O$8)*$O$4</f>
        <v>22363</v>
      </c>
      <c r="P41" s="172">
        <f t="shared" si="15"/>
        <v>8162495</v>
      </c>
      <c r="Q41" s="172">
        <f aca="true" t="shared" si="27" ref="Q41:Q60">SUM(C41*$Q$8)</f>
        <v>1172636913.0778491</v>
      </c>
      <c r="R41" s="172">
        <f t="shared" si="20"/>
        <v>14071642956.934189</v>
      </c>
      <c r="S41" s="172"/>
      <c r="T41" s="172">
        <f aca="true" t="shared" si="28" ref="T41:T60">SUM($T$8*C41)</f>
        <v>7240527360</v>
      </c>
      <c r="U41" s="172">
        <f aca="true" t="shared" si="29" ref="U41:U60">SUM(C41*$U$8)</f>
        <v>301067711.2349278</v>
      </c>
      <c r="V41" s="172">
        <f aca="true" t="shared" si="30" ref="V41:V60">SUM(C41*$V$8)</f>
        <v>282480000</v>
      </c>
      <c r="W41" s="172">
        <f t="shared" si="16"/>
        <v>26937521178.304718</v>
      </c>
      <c r="X41" s="172">
        <f aca="true" t="shared" si="31" ref="X41:X61">SUM(W41*$X$6)</f>
        <v>13468760589.152359</v>
      </c>
      <c r="Y41" s="172">
        <f t="shared" si="17"/>
        <v>3367190147.2880898</v>
      </c>
      <c r="Z41">
        <f aca="true" t="shared" si="32" ref="Z41:Z60">SUM(I41/X41)</f>
        <v>1.7477480458713435</v>
      </c>
    </row>
    <row r="42" spans="1:26" s="11" customFormat="1" ht="12.75">
      <c r="A42" t="s">
        <v>575</v>
      </c>
      <c r="B42" s="11" t="s">
        <v>321</v>
      </c>
      <c r="C42" s="11">
        <v>1221</v>
      </c>
      <c r="D42" s="11">
        <v>3757</v>
      </c>
      <c r="E42" s="241">
        <v>8407248</v>
      </c>
      <c r="F42" s="106">
        <f t="shared" si="18"/>
        <v>1092942.24</v>
      </c>
      <c r="G42" s="172">
        <f t="shared" si="13"/>
        <v>5464711.2</v>
      </c>
      <c r="H42" s="27">
        <f t="shared" si="19"/>
        <v>1994619588</v>
      </c>
      <c r="I42" s="171">
        <f t="shared" si="21"/>
        <v>12210000000</v>
      </c>
      <c r="J42" s="171">
        <f t="shared" si="22"/>
        <v>82520.06400000001</v>
      </c>
      <c r="K42" s="171">
        <f t="shared" si="23"/>
        <v>240958586.88000003</v>
      </c>
      <c r="L42" s="171">
        <f t="shared" si="24"/>
        <v>2883.90432</v>
      </c>
      <c r="M42" s="171">
        <f t="shared" si="25"/>
        <v>23071.23456</v>
      </c>
      <c r="N42" s="226">
        <f t="shared" si="14"/>
        <v>8421000.6144</v>
      </c>
      <c r="O42" s="171">
        <f t="shared" si="26"/>
        <v>11599.5</v>
      </c>
      <c r="P42" s="171">
        <f t="shared" si="15"/>
        <v>4233817.5</v>
      </c>
      <c r="Q42" s="171">
        <f t="shared" si="27"/>
        <v>608236903.5123423</v>
      </c>
      <c r="R42" s="171">
        <f t="shared" si="20"/>
        <v>7298842842.148108</v>
      </c>
      <c r="S42" s="171"/>
      <c r="T42" s="171">
        <f t="shared" si="28"/>
        <v>3755600640</v>
      </c>
      <c r="U42" s="171">
        <f t="shared" si="29"/>
        <v>156161289.47232237</v>
      </c>
      <c r="V42" s="171">
        <f t="shared" si="30"/>
        <v>146520000</v>
      </c>
      <c r="W42" s="172">
        <f t="shared" si="16"/>
        <v>13605357764.61483</v>
      </c>
      <c r="X42" s="171">
        <f t="shared" si="31"/>
        <v>6802678882.307415</v>
      </c>
      <c r="Y42" s="172">
        <f t="shared" si="17"/>
        <v>1700669720.5768538</v>
      </c>
      <c r="Z42" s="11">
        <f t="shared" si="32"/>
        <v>1.7948811359824859</v>
      </c>
    </row>
    <row r="43" spans="1:26" ht="12.75">
      <c r="A43" t="s">
        <v>576</v>
      </c>
      <c r="B43" t="s">
        <v>322</v>
      </c>
      <c r="C43">
        <v>572</v>
      </c>
      <c r="D43">
        <v>2723</v>
      </c>
      <c r="E43" s="241">
        <v>633837</v>
      </c>
      <c r="F43" s="106">
        <f t="shared" si="18"/>
        <v>82398.81</v>
      </c>
      <c r="G43" s="172">
        <f t="shared" si="13"/>
        <v>411994.05</v>
      </c>
      <c r="H43" s="27">
        <f t="shared" si="19"/>
        <v>150377828.25</v>
      </c>
      <c r="I43" s="172">
        <f t="shared" si="21"/>
        <v>5720000000</v>
      </c>
      <c r="J43" s="172">
        <f t="shared" si="22"/>
        <v>38658.048</v>
      </c>
      <c r="K43" s="172">
        <f t="shared" si="23"/>
        <v>112881500.16000001</v>
      </c>
      <c r="L43" s="172">
        <f t="shared" si="24"/>
        <v>1351.01824</v>
      </c>
      <c r="M43" s="172">
        <f t="shared" si="25"/>
        <v>10808.14592</v>
      </c>
      <c r="N43" s="225">
        <f t="shared" si="14"/>
        <v>3944973.2608000003</v>
      </c>
      <c r="O43" s="172">
        <f t="shared" si="26"/>
        <v>5434</v>
      </c>
      <c r="P43" s="172">
        <f t="shared" si="15"/>
        <v>1983410</v>
      </c>
      <c r="Q43" s="172">
        <f t="shared" si="27"/>
        <v>284939810.6544306</v>
      </c>
      <c r="R43" s="172">
        <f t="shared" si="20"/>
        <v>3419277727.8531675</v>
      </c>
      <c r="S43" s="172"/>
      <c r="T43" s="172">
        <f t="shared" si="28"/>
        <v>1759380480</v>
      </c>
      <c r="U43" s="172">
        <f t="shared" si="29"/>
        <v>73156640.11316003</v>
      </c>
      <c r="V43" s="172">
        <f t="shared" si="30"/>
        <v>68640000</v>
      </c>
      <c r="W43" s="172">
        <f t="shared" si="16"/>
        <v>5589642559.637128</v>
      </c>
      <c r="X43" s="172">
        <f t="shared" si="31"/>
        <v>2794821279.818564</v>
      </c>
      <c r="Y43" s="172">
        <f t="shared" si="17"/>
        <v>698705319.954641</v>
      </c>
      <c r="Z43">
        <f t="shared" si="32"/>
        <v>2.046642495999363</v>
      </c>
    </row>
    <row r="44" spans="1:26" s="113" customFormat="1" ht="12.75">
      <c r="A44" t="s">
        <v>577</v>
      </c>
      <c r="B44" s="113" t="s">
        <v>323</v>
      </c>
      <c r="C44" s="113">
        <v>1944</v>
      </c>
      <c r="D44" s="113">
        <v>4368</v>
      </c>
      <c r="E44" s="241">
        <v>11435798</v>
      </c>
      <c r="F44" s="106">
        <f t="shared" si="18"/>
        <v>1486653.74</v>
      </c>
      <c r="G44" s="172">
        <f t="shared" si="13"/>
        <v>7433268.7</v>
      </c>
      <c r="H44" s="27">
        <f t="shared" si="19"/>
        <v>2713143075.5</v>
      </c>
      <c r="I44" s="172">
        <f t="shared" si="21"/>
        <v>19440000000</v>
      </c>
      <c r="J44" s="173">
        <f t="shared" si="22"/>
        <v>131383.296</v>
      </c>
      <c r="K44" s="173">
        <f t="shared" si="23"/>
        <v>383639224.32</v>
      </c>
      <c r="L44" s="173">
        <f t="shared" si="24"/>
        <v>4591.57248</v>
      </c>
      <c r="M44" s="173">
        <f t="shared" si="25"/>
        <v>36732.57984</v>
      </c>
      <c r="N44" s="225">
        <f t="shared" si="14"/>
        <v>13407391.6416</v>
      </c>
      <c r="O44" s="173">
        <f t="shared" si="26"/>
        <v>18468</v>
      </c>
      <c r="P44" s="172">
        <f t="shared" si="15"/>
        <v>6740820</v>
      </c>
      <c r="Q44" s="173">
        <f t="shared" si="27"/>
        <v>968396839.0073657</v>
      </c>
      <c r="R44" s="173">
        <f t="shared" si="20"/>
        <v>11620762068.088388</v>
      </c>
      <c r="S44" s="173"/>
      <c r="T44" s="172">
        <f t="shared" si="28"/>
        <v>5979432960</v>
      </c>
      <c r="U44" s="173">
        <f t="shared" si="29"/>
        <v>248630259.40556484</v>
      </c>
      <c r="V44" s="173">
        <f t="shared" si="30"/>
        <v>233280000</v>
      </c>
      <c r="W44" s="172">
        <f t="shared" si="16"/>
        <v>21199035798.95555</v>
      </c>
      <c r="X44" s="173">
        <f t="shared" si="31"/>
        <v>10599517899.477776</v>
      </c>
      <c r="Y44" s="172">
        <f t="shared" si="17"/>
        <v>2649879474.869444</v>
      </c>
      <c r="Z44" s="113">
        <f t="shared" si="32"/>
        <v>1.8340456787150463</v>
      </c>
    </row>
    <row r="45" spans="1:26" ht="12.75">
      <c r="A45" t="s">
        <v>578</v>
      </c>
      <c r="B45" t="s">
        <v>324</v>
      </c>
      <c r="C45">
        <v>1065</v>
      </c>
      <c r="D45">
        <v>3338</v>
      </c>
      <c r="E45" s="241">
        <v>3511532</v>
      </c>
      <c r="F45" s="106">
        <f t="shared" si="18"/>
        <v>456499.16000000003</v>
      </c>
      <c r="G45" s="172">
        <f t="shared" si="13"/>
        <v>2282495.8000000003</v>
      </c>
      <c r="H45" s="27">
        <f t="shared" si="19"/>
        <v>833110967.0000001</v>
      </c>
      <c r="I45" s="172">
        <f t="shared" si="21"/>
        <v>10650000000</v>
      </c>
      <c r="J45" s="172">
        <f t="shared" si="22"/>
        <v>71976.96</v>
      </c>
      <c r="K45" s="172">
        <f t="shared" si="23"/>
        <v>210172723.20000002</v>
      </c>
      <c r="L45" s="172">
        <f t="shared" si="24"/>
        <v>2515.4448</v>
      </c>
      <c r="M45" s="172">
        <f t="shared" si="25"/>
        <v>20123.5584</v>
      </c>
      <c r="N45" s="225">
        <f t="shared" si="14"/>
        <v>7345098.816000001</v>
      </c>
      <c r="O45" s="172">
        <f t="shared" si="26"/>
        <v>10117.5</v>
      </c>
      <c r="P45" s="172">
        <f t="shared" si="15"/>
        <v>3692887.5</v>
      </c>
      <c r="Q45" s="172">
        <f t="shared" si="27"/>
        <v>530526046.061134</v>
      </c>
      <c r="R45" s="172">
        <f t="shared" si="20"/>
        <v>6366312552.733608</v>
      </c>
      <c r="S45" s="172"/>
      <c r="T45" s="172">
        <f t="shared" si="28"/>
        <v>3275769600</v>
      </c>
      <c r="U45" s="172">
        <f t="shared" si="29"/>
        <v>136209478.5323696</v>
      </c>
      <c r="V45" s="172">
        <f t="shared" si="30"/>
        <v>127800000</v>
      </c>
      <c r="W45" s="172">
        <f t="shared" si="16"/>
        <v>10960413307.781977</v>
      </c>
      <c r="X45" s="172">
        <f t="shared" si="31"/>
        <v>5480206653.890988</v>
      </c>
      <c r="Y45" s="172">
        <f t="shared" si="17"/>
        <v>1370051663.472747</v>
      </c>
      <c r="Z45">
        <f t="shared" si="32"/>
        <v>1.9433573718316661</v>
      </c>
    </row>
    <row r="46" spans="1:26" ht="12.75">
      <c r="A46" t="s">
        <v>579</v>
      </c>
      <c r="B46" t="s">
        <v>325</v>
      </c>
      <c r="C46">
        <v>778</v>
      </c>
      <c r="D46">
        <v>3751</v>
      </c>
      <c r="E46" s="241">
        <v>3559596</v>
      </c>
      <c r="F46" s="106">
        <f t="shared" si="18"/>
        <v>462747.48000000004</v>
      </c>
      <c r="G46" s="172">
        <f t="shared" si="13"/>
        <v>2313737.4000000004</v>
      </c>
      <c r="H46" s="27">
        <f t="shared" si="19"/>
        <v>844514151.0000001</v>
      </c>
      <c r="I46" s="172">
        <f t="shared" si="21"/>
        <v>7780000000</v>
      </c>
      <c r="J46" s="172">
        <f t="shared" si="22"/>
        <v>52580.352000000006</v>
      </c>
      <c r="K46" s="172">
        <f t="shared" si="23"/>
        <v>153534627.84</v>
      </c>
      <c r="L46" s="172">
        <f t="shared" si="24"/>
        <v>1837.5737600000002</v>
      </c>
      <c r="M46" s="172">
        <f t="shared" si="25"/>
        <v>14700.590080000002</v>
      </c>
      <c r="N46" s="225">
        <f t="shared" si="14"/>
        <v>5365715.3792</v>
      </c>
      <c r="O46" s="172">
        <f t="shared" si="26"/>
        <v>7391</v>
      </c>
      <c r="P46" s="172">
        <f t="shared" si="15"/>
        <v>2697715</v>
      </c>
      <c r="Q46" s="172">
        <f t="shared" si="27"/>
        <v>387557994.2117955</v>
      </c>
      <c r="R46" s="172">
        <f t="shared" si="20"/>
        <v>4650695930.541546</v>
      </c>
      <c r="S46" s="172"/>
      <c r="T46" s="172">
        <f t="shared" si="28"/>
        <v>2393003520</v>
      </c>
      <c r="U46" s="172">
        <f t="shared" si="29"/>
        <v>99503262.25181556</v>
      </c>
      <c r="V46" s="172">
        <f t="shared" si="30"/>
        <v>93360000</v>
      </c>
      <c r="W46" s="172">
        <f t="shared" si="16"/>
        <v>8242674922.012562</v>
      </c>
      <c r="X46" s="172">
        <f t="shared" si="31"/>
        <v>4121337461.006281</v>
      </c>
      <c r="Y46" s="172">
        <f t="shared" si="17"/>
        <v>1030334365.2515702</v>
      </c>
      <c r="Z46">
        <f t="shared" si="32"/>
        <v>1.8877367052831453</v>
      </c>
    </row>
    <row r="47" spans="1:26" ht="12.75">
      <c r="A47" t="s">
        <v>580</v>
      </c>
      <c r="B47" t="s">
        <v>326</v>
      </c>
      <c r="C47">
        <v>2215</v>
      </c>
      <c r="D47">
        <v>5450</v>
      </c>
      <c r="E47" s="241">
        <v>12365455</v>
      </c>
      <c r="F47" s="106">
        <f t="shared" si="18"/>
        <v>1607509.1500000001</v>
      </c>
      <c r="G47" s="172">
        <f t="shared" si="13"/>
        <v>8037545.750000001</v>
      </c>
      <c r="H47" s="27">
        <f t="shared" si="19"/>
        <v>2933704198.7500005</v>
      </c>
      <c r="I47" s="172">
        <f t="shared" si="21"/>
        <v>22150000000</v>
      </c>
      <c r="J47" s="172">
        <f t="shared" si="22"/>
        <v>149698.56000000003</v>
      </c>
      <c r="K47" s="172">
        <f t="shared" si="23"/>
        <v>437119795.2000001</v>
      </c>
      <c r="L47" s="172">
        <f t="shared" si="24"/>
        <v>5231.6528</v>
      </c>
      <c r="M47" s="172">
        <f t="shared" si="25"/>
        <v>41853.2224</v>
      </c>
      <c r="N47" s="225">
        <f t="shared" si="14"/>
        <v>15276426.175999999</v>
      </c>
      <c r="O47" s="172">
        <f t="shared" si="26"/>
        <v>21042.5</v>
      </c>
      <c r="P47" s="172">
        <f t="shared" si="15"/>
        <v>7680512.5</v>
      </c>
      <c r="Q47" s="172">
        <f t="shared" si="27"/>
        <v>1103394546.5027342</v>
      </c>
      <c r="R47" s="172">
        <f t="shared" si="20"/>
        <v>13240734558.03281</v>
      </c>
      <c r="S47" s="172"/>
      <c r="T47" s="172">
        <f t="shared" si="28"/>
        <v>6812985600</v>
      </c>
      <c r="U47" s="172">
        <f t="shared" si="29"/>
        <v>283290136.102534</v>
      </c>
      <c r="V47" s="172">
        <f t="shared" si="30"/>
        <v>265800000</v>
      </c>
      <c r="W47" s="172">
        <f t="shared" si="16"/>
        <v>23996591226.761345</v>
      </c>
      <c r="X47" s="172">
        <f t="shared" si="31"/>
        <v>11998295613.380672</v>
      </c>
      <c r="Y47" s="172">
        <f t="shared" si="17"/>
        <v>2999573903.345168</v>
      </c>
      <c r="Z47">
        <f t="shared" si="32"/>
        <v>1.846095538377801</v>
      </c>
    </row>
    <row r="48" spans="1:26" ht="12.75">
      <c r="A48" t="s">
        <v>581</v>
      </c>
      <c r="B48" t="s">
        <v>327</v>
      </c>
      <c r="C48">
        <v>136</v>
      </c>
      <c r="D48">
        <v>268</v>
      </c>
      <c r="E48" s="241">
        <v>1076164</v>
      </c>
      <c r="F48" s="106">
        <f t="shared" si="18"/>
        <v>139901.32</v>
      </c>
      <c r="G48" s="172">
        <f t="shared" si="13"/>
        <v>699506.6000000001</v>
      </c>
      <c r="H48" s="27">
        <f t="shared" si="19"/>
        <v>255319909.00000003</v>
      </c>
      <c r="I48" s="172">
        <f t="shared" si="21"/>
        <v>1360000000</v>
      </c>
      <c r="J48" s="172">
        <f t="shared" si="22"/>
        <v>9191.424</v>
      </c>
      <c r="K48" s="172">
        <f t="shared" si="23"/>
        <v>26838958.080000002</v>
      </c>
      <c r="L48" s="172">
        <f t="shared" si="24"/>
        <v>321.22112</v>
      </c>
      <c r="M48" s="172">
        <f t="shared" si="25"/>
        <v>2569.76896</v>
      </c>
      <c r="N48" s="225">
        <f t="shared" si="14"/>
        <v>937965.6704</v>
      </c>
      <c r="O48" s="172">
        <f t="shared" si="26"/>
        <v>1292</v>
      </c>
      <c r="P48" s="172">
        <f t="shared" si="15"/>
        <v>471580</v>
      </c>
      <c r="Q48" s="172">
        <f t="shared" si="27"/>
        <v>67747927.00874574</v>
      </c>
      <c r="R48" s="172">
        <f t="shared" si="20"/>
        <v>812975124.104949</v>
      </c>
      <c r="S48" s="172"/>
      <c r="T48" s="172">
        <f t="shared" si="28"/>
        <v>418314240</v>
      </c>
      <c r="U48" s="172">
        <f t="shared" si="29"/>
        <v>17393886.460471615</v>
      </c>
      <c r="V48" s="172">
        <f t="shared" si="30"/>
        <v>16320000</v>
      </c>
      <c r="W48" s="172">
        <f t="shared" si="16"/>
        <v>1548571663.3158207</v>
      </c>
      <c r="X48" s="172">
        <f t="shared" si="31"/>
        <v>774285831.6579103</v>
      </c>
      <c r="Y48" s="172">
        <f t="shared" si="17"/>
        <v>193571457.9144776</v>
      </c>
      <c r="Z48">
        <f t="shared" si="32"/>
        <v>1.7564572983183113</v>
      </c>
    </row>
    <row r="49" spans="1:26" ht="12.75">
      <c r="A49" t="s">
        <v>582</v>
      </c>
      <c r="B49" t="s">
        <v>328</v>
      </c>
      <c r="C49">
        <v>890</v>
      </c>
      <c r="D49">
        <v>2622</v>
      </c>
      <c r="E49" s="241">
        <v>4147152</v>
      </c>
      <c r="F49" s="106">
        <f t="shared" si="18"/>
        <v>539129.76</v>
      </c>
      <c r="G49" s="172">
        <f t="shared" si="13"/>
        <v>2695648.8</v>
      </c>
      <c r="H49" s="27">
        <f t="shared" si="19"/>
        <v>983911811.9999999</v>
      </c>
      <c r="I49" s="172">
        <f t="shared" si="21"/>
        <v>8900000000</v>
      </c>
      <c r="J49" s="172">
        <f t="shared" si="22"/>
        <v>60149.76</v>
      </c>
      <c r="K49" s="172">
        <f t="shared" si="23"/>
        <v>175637299.20000002</v>
      </c>
      <c r="L49" s="172">
        <f t="shared" si="24"/>
        <v>2102.1088</v>
      </c>
      <c r="M49" s="172">
        <f t="shared" si="25"/>
        <v>16816.8704</v>
      </c>
      <c r="N49" s="225">
        <f t="shared" si="14"/>
        <v>6138157.6959999995</v>
      </c>
      <c r="O49" s="172">
        <f t="shared" si="26"/>
        <v>8455</v>
      </c>
      <c r="P49" s="172">
        <f t="shared" si="15"/>
        <v>3086075</v>
      </c>
      <c r="Q49" s="172">
        <f t="shared" si="27"/>
        <v>443350404.68958616</v>
      </c>
      <c r="R49" s="172">
        <f t="shared" si="20"/>
        <v>5320204856.275034</v>
      </c>
      <c r="S49" s="172"/>
      <c r="T49" s="172">
        <f t="shared" si="28"/>
        <v>2737497600</v>
      </c>
      <c r="U49" s="172">
        <f t="shared" si="29"/>
        <v>113827639.33690983</v>
      </c>
      <c r="V49" s="172">
        <f t="shared" si="30"/>
        <v>106800000</v>
      </c>
      <c r="W49" s="172">
        <f t="shared" si="16"/>
        <v>9447103439.507944</v>
      </c>
      <c r="X49" s="172">
        <f t="shared" si="31"/>
        <v>4723551719.753972</v>
      </c>
      <c r="Y49" s="172">
        <f t="shared" si="17"/>
        <v>1180887929.938493</v>
      </c>
      <c r="Z49">
        <f t="shared" si="32"/>
        <v>1.8841754103760633</v>
      </c>
    </row>
    <row r="50" spans="1:26" ht="12.75">
      <c r="A50" t="s">
        <v>583</v>
      </c>
      <c r="B50" t="s">
        <v>329</v>
      </c>
      <c r="C50">
        <v>678</v>
      </c>
      <c r="D50">
        <v>2936</v>
      </c>
      <c r="E50" s="241">
        <v>764309</v>
      </c>
      <c r="F50" s="106">
        <f t="shared" si="18"/>
        <v>99360.17</v>
      </c>
      <c r="G50" s="172">
        <f t="shared" si="13"/>
        <v>496800.85</v>
      </c>
      <c r="H50" s="27">
        <f t="shared" si="19"/>
        <v>181332310.25</v>
      </c>
      <c r="I50" s="172">
        <f t="shared" si="21"/>
        <v>6780000000</v>
      </c>
      <c r="J50" s="172">
        <f t="shared" si="22"/>
        <v>45821.952000000005</v>
      </c>
      <c r="K50" s="172">
        <f t="shared" si="23"/>
        <v>133800099.84000002</v>
      </c>
      <c r="L50" s="172">
        <f t="shared" si="24"/>
        <v>1601.3817600000002</v>
      </c>
      <c r="M50" s="172">
        <f t="shared" si="25"/>
        <v>12811.054080000002</v>
      </c>
      <c r="N50" s="225">
        <f t="shared" si="14"/>
        <v>4676034.739200001</v>
      </c>
      <c r="O50" s="172">
        <f t="shared" si="26"/>
        <v>6441</v>
      </c>
      <c r="P50" s="172">
        <f t="shared" si="15"/>
        <v>2350965</v>
      </c>
      <c r="Q50" s="172">
        <f t="shared" si="27"/>
        <v>337743341.99948245</v>
      </c>
      <c r="R50" s="172">
        <f t="shared" si="20"/>
        <v>4052920103.9937897</v>
      </c>
      <c r="S50" s="172"/>
      <c r="T50" s="172">
        <f t="shared" si="28"/>
        <v>2085419520</v>
      </c>
      <c r="U50" s="172">
        <f t="shared" si="29"/>
        <v>86713639.85440996</v>
      </c>
      <c r="V50" s="172">
        <f t="shared" si="30"/>
        <v>81360000</v>
      </c>
      <c r="W50" s="172">
        <f t="shared" si="16"/>
        <v>6628572673.6774</v>
      </c>
      <c r="X50" s="172">
        <f t="shared" si="31"/>
        <v>3314286336.8387</v>
      </c>
      <c r="Y50" s="172">
        <f t="shared" si="17"/>
        <v>828571584.209675</v>
      </c>
      <c r="Z50">
        <f t="shared" si="32"/>
        <v>2.045689270911649</v>
      </c>
    </row>
    <row r="51" spans="1:26" ht="12.75">
      <c r="A51" t="s">
        <v>584</v>
      </c>
      <c r="B51" t="s">
        <v>330</v>
      </c>
      <c r="C51">
        <v>1187</v>
      </c>
      <c r="D51">
        <v>3229</v>
      </c>
      <c r="E51" s="241">
        <v>5841748</v>
      </c>
      <c r="F51" s="106">
        <f t="shared" si="18"/>
        <v>759427.24</v>
      </c>
      <c r="G51" s="172">
        <f t="shared" si="13"/>
        <v>3797136.2</v>
      </c>
      <c r="H51" s="27">
        <f t="shared" si="19"/>
        <v>1385954713</v>
      </c>
      <c r="I51" s="172">
        <f t="shared" si="21"/>
        <v>11870000000</v>
      </c>
      <c r="J51" s="172">
        <f t="shared" si="22"/>
        <v>80222.20800000001</v>
      </c>
      <c r="K51" s="172">
        <f t="shared" si="23"/>
        <v>234248847.36000004</v>
      </c>
      <c r="L51" s="172">
        <f t="shared" si="24"/>
        <v>2803.59904</v>
      </c>
      <c r="M51" s="172">
        <f t="shared" si="25"/>
        <v>22428.79232</v>
      </c>
      <c r="N51" s="225">
        <f t="shared" si="14"/>
        <v>8186509.1968</v>
      </c>
      <c r="O51" s="172">
        <f t="shared" si="26"/>
        <v>11276.5</v>
      </c>
      <c r="P51" s="172">
        <f t="shared" si="15"/>
        <v>4115922.5</v>
      </c>
      <c r="Q51" s="172">
        <f t="shared" si="27"/>
        <v>591299921.7601559</v>
      </c>
      <c r="R51" s="172">
        <f t="shared" si="20"/>
        <v>7095599061.121871</v>
      </c>
      <c r="S51" s="172"/>
      <c r="T51" s="172">
        <f t="shared" si="28"/>
        <v>3651022080</v>
      </c>
      <c r="U51" s="172">
        <f t="shared" si="29"/>
        <v>151812817.85720447</v>
      </c>
      <c r="V51" s="172">
        <f t="shared" si="30"/>
        <v>142440000</v>
      </c>
      <c r="W51" s="172">
        <f t="shared" si="16"/>
        <v>12673379951.035875</v>
      </c>
      <c r="X51" s="172">
        <f t="shared" si="31"/>
        <v>6336689975.517938</v>
      </c>
      <c r="Y51" s="172">
        <f t="shared" si="17"/>
        <v>1584172493.8794844</v>
      </c>
      <c r="Z51">
        <f t="shared" si="32"/>
        <v>1.8732177281609537</v>
      </c>
    </row>
    <row r="52" spans="1:26" s="11" customFormat="1" ht="12.75">
      <c r="A52" t="s">
        <v>585</v>
      </c>
      <c r="B52" s="11" t="s">
        <v>331</v>
      </c>
      <c r="C52" s="11">
        <v>4269</v>
      </c>
      <c r="D52" s="11">
        <v>13361</v>
      </c>
      <c r="E52" s="241">
        <v>22118509</v>
      </c>
      <c r="F52" s="106">
        <f t="shared" si="18"/>
        <v>2875406.17</v>
      </c>
      <c r="G52" s="172">
        <f t="shared" si="13"/>
        <v>14377030.85</v>
      </c>
      <c r="H52" s="27">
        <f t="shared" si="19"/>
        <v>5247616260.25</v>
      </c>
      <c r="I52" s="171">
        <f t="shared" si="21"/>
        <v>42690000000</v>
      </c>
      <c r="J52" s="171">
        <f t="shared" si="22"/>
        <v>288516.096</v>
      </c>
      <c r="K52" s="171">
        <f t="shared" si="23"/>
        <v>842467000.32</v>
      </c>
      <c r="L52" s="171">
        <f t="shared" si="24"/>
        <v>10083.03648</v>
      </c>
      <c r="M52" s="171">
        <f t="shared" si="25"/>
        <v>80664.29184</v>
      </c>
      <c r="N52" s="226">
        <f t="shared" si="14"/>
        <v>29442466.5216</v>
      </c>
      <c r="O52" s="171">
        <f t="shared" si="26"/>
        <v>40555.5</v>
      </c>
      <c r="P52" s="171">
        <f t="shared" si="15"/>
        <v>14802757.5</v>
      </c>
      <c r="Q52" s="171">
        <f t="shared" si="27"/>
        <v>2126587502.943644</v>
      </c>
      <c r="R52" s="171">
        <f t="shared" si="20"/>
        <v>25519050035.32373</v>
      </c>
      <c r="S52" s="171"/>
      <c r="T52" s="171">
        <f t="shared" si="28"/>
        <v>13130760960</v>
      </c>
      <c r="U52" s="171">
        <f t="shared" si="29"/>
        <v>545988980.1452451</v>
      </c>
      <c r="V52" s="171">
        <f t="shared" si="30"/>
        <v>512280000</v>
      </c>
      <c r="W52" s="172">
        <f t="shared" si="16"/>
        <v>45842408460.06058</v>
      </c>
      <c r="X52" s="171">
        <f t="shared" si="31"/>
        <v>22921204230.03029</v>
      </c>
      <c r="Y52" s="172">
        <f t="shared" si="17"/>
        <v>5730301057.507572</v>
      </c>
      <c r="Z52" s="11">
        <f t="shared" si="32"/>
        <v>1.8624675899039178</v>
      </c>
    </row>
    <row r="53" spans="1:26" ht="12.75">
      <c r="A53" t="s">
        <v>586</v>
      </c>
      <c r="B53" t="s">
        <v>332</v>
      </c>
      <c r="C53">
        <v>946</v>
      </c>
      <c r="D53">
        <v>2173</v>
      </c>
      <c r="E53" s="241">
        <v>2351467</v>
      </c>
      <c r="F53" s="106">
        <f t="shared" si="18"/>
        <v>305690.71</v>
      </c>
      <c r="G53" s="172">
        <f t="shared" si="13"/>
        <v>1528453.55</v>
      </c>
      <c r="H53" s="27">
        <f t="shared" si="19"/>
        <v>557885545.75</v>
      </c>
      <c r="I53" s="172">
        <f t="shared" si="21"/>
        <v>9460000000</v>
      </c>
      <c r="J53" s="172">
        <f t="shared" si="22"/>
        <v>63934.46400000001</v>
      </c>
      <c r="K53" s="172">
        <f t="shared" si="23"/>
        <v>186688634.88000003</v>
      </c>
      <c r="L53" s="172">
        <f t="shared" si="24"/>
        <v>2234.37632</v>
      </c>
      <c r="M53" s="172">
        <f t="shared" si="25"/>
        <v>17875.01056</v>
      </c>
      <c r="N53" s="225">
        <f t="shared" si="14"/>
        <v>6524378.8544</v>
      </c>
      <c r="O53" s="172">
        <f t="shared" si="26"/>
        <v>8987</v>
      </c>
      <c r="P53" s="172">
        <f t="shared" si="15"/>
        <v>3280255</v>
      </c>
      <c r="Q53" s="172">
        <f t="shared" si="27"/>
        <v>471246609.92848146</v>
      </c>
      <c r="R53" s="172">
        <f t="shared" si="20"/>
        <v>5654959319.141777</v>
      </c>
      <c r="S53" s="172"/>
      <c r="T53" s="172">
        <f t="shared" si="28"/>
        <v>2909744640</v>
      </c>
      <c r="U53" s="172">
        <f t="shared" si="29"/>
        <v>120989827.87945697</v>
      </c>
      <c r="V53" s="172">
        <f t="shared" si="30"/>
        <v>113520000</v>
      </c>
      <c r="W53" s="172">
        <f t="shared" si="16"/>
        <v>9553592601.505634</v>
      </c>
      <c r="X53" s="172">
        <f t="shared" si="31"/>
        <v>4776796300.752817</v>
      </c>
      <c r="Y53" s="172">
        <f t="shared" si="17"/>
        <v>1194199075.1882043</v>
      </c>
      <c r="Z53">
        <f t="shared" si="32"/>
        <v>1.9804068259115666</v>
      </c>
    </row>
    <row r="54" spans="1:26" ht="12.75">
      <c r="A54" t="s">
        <v>587</v>
      </c>
      <c r="B54" t="s">
        <v>333</v>
      </c>
      <c r="C54">
        <v>328</v>
      </c>
      <c r="D54">
        <v>691</v>
      </c>
      <c r="E54" s="241">
        <v>619107</v>
      </c>
      <c r="F54" s="106">
        <f t="shared" si="18"/>
        <v>80483.91</v>
      </c>
      <c r="G54" s="172">
        <f t="shared" si="13"/>
        <v>402419.55000000005</v>
      </c>
      <c r="H54" s="27">
        <f t="shared" si="19"/>
        <v>146883135.75000003</v>
      </c>
      <c r="I54" s="172">
        <f t="shared" si="21"/>
        <v>3280000000</v>
      </c>
      <c r="J54" s="172">
        <f t="shared" si="22"/>
        <v>22167.552000000003</v>
      </c>
      <c r="K54" s="172">
        <f t="shared" si="23"/>
        <v>64729251.84000001</v>
      </c>
      <c r="L54" s="172">
        <f t="shared" si="24"/>
        <v>774.7097600000001</v>
      </c>
      <c r="M54" s="172">
        <f t="shared" si="25"/>
        <v>6197.678080000001</v>
      </c>
      <c r="N54" s="225">
        <f t="shared" si="14"/>
        <v>2262152.4992000004</v>
      </c>
      <c r="O54" s="172">
        <f t="shared" si="26"/>
        <v>3116</v>
      </c>
      <c r="P54" s="172">
        <f t="shared" si="15"/>
        <v>1137340</v>
      </c>
      <c r="Q54" s="172">
        <f t="shared" si="27"/>
        <v>163392059.25638682</v>
      </c>
      <c r="R54" s="172">
        <f t="shared" si="20"/>
        <v>1960704711.0766418</v>
      </c>
      <c r="S54" s="172"/>
      <c r="T54" s="172">
        <f t="shared" si="28"/>
        <v>1008875520</v>
      </c>
      <c r="U54" s="172">
        <f t="shared" si="29"/>
        <v>41949961.46349037</v>
      </c>
      <c r="V54" s="172">
        <f t="shared" si="30"/>
        <v>39360000</v>
      </c>
      <c r="W54" s="172">
        <f t="shared" si="16"/>
        <v>3265902072.6293325</v>
      </c>
      <c r="X54" s="172">
        <f t="shared" si="31"/>
        <v>1632951036.3146663</v>
      </c>
      <c r="Y54" s="172">
        <f t="shared" si="17"/>
        <v>408237759.07866657</v>
      </c>
      <c r="Z54">
        <f t="shared" si="32"/>
        <v>2.008633404834039</v>
      </c>
    </row>
    <row r="55" spans="1:26" ht="12.75">
      <c r="A55" t="s">
        <v>588</v>
      </c>
      <c r="B55" t="s">
        <v>334</v>
      </c>
      <c r="C55">
        <v>1333</v>
      </c>
      <c r="D55">
        <v>3471</v>
      </c>
      <c r="E55" s="241">
        <v>7386330</v>
      </c>
      <c r="F55" s="106">
        <f t="shared" si="18"/>
        <v>960222.9</v>
      </c>
      <c r="G55" s="172">
        <f t="shared" si="13"/>
        <v>4801114.5</v>
      </c>
      <c r="H55" s="27">
        <f t="shared" si="19"/>
        <v>1752406792.5</v>
      </c>
      <c r="I55" s="172">
        <f t="shared" si="21"/>
        <v>13330000000</v>
      </c>
      <c r="J55" s="172">
        <f t="shared" si="22"/>
        <v>90089.47200000001</v>
      </c>
      <c r="K55" s="172">
        <f t="shared" si="23"/>
        <v>263061258.24000004</v>
      </c>
      <c r="L55" s="172">
        <f t="shared" si="24"/>
        <v>3148.4393600000003</v>
      </c>
      <c r="M55" s="172">
        <f t="shared" si="25"/>
        <v>25187.514880000002</v>
      </c>
      <c r="N55" s="225">
        <f t="shared" si="14"/>
        <v>9193442.931200001</v>
      </c>
      <c r="O55" s="172">
        <f t="shared" si="26"/>
        <v>12663.5</v>
      </c>
      <c r="P55" s="172">
        <f t="shared" si="15"/>
        <v>4622177.5</v>
      </c>
      <c r="Q55" s="172">
        <f t="shared" si="27"/>
        <v>664029313.9901329</v>
      </c>
      <c r="R55" s="172">
        <f t="shared" si="20"/>
        <v>7968351767.881596</v>
      </c>
      <c r="S55" s="172"/>
      <c r="T55" s="172">
        <f t="shared" si="28"/>
        <v>4100094720</v>
      </c>
      <c r="U55" s="172">
        <f t="shared" si="29"/>
        <v>170485666.55741665</v>
      </c>
      <c r="V55" s="172">
        <f t="shared" si="30"/>
        <v>159960000</v>
      </c>
      <c r="W55" s="172">
        <f t="shared" si="16"/>
        <v>14428175825.610212</v>
      </c>
      <c r="X55" s="172">
        <f t="shared" si="31"/>
        <v>7214087912.805106</v>
      </c>
      <c r="Y55" s="172">
        <f t="shared" si="17"/>
        <v>1803521978.2012765</v>
      </c>
      <c r="Z55">
        <f t="shared" si="32"/>
        <v>1.8477734345791745</v>
      </c>
    </row>
    <row r="56" spans="1:26" ht="12.75">
      <c r="A56" t="s">
        <v>589</v>
      </c>
      <c r="B56" t="s">
        <v>335</v>
      </c>
      <c r="C56">
        <v>1014</v>
      </c>
      <c r="D56">
        <v>3483</v>
      </c>
      <c r="E56" s="241">
        <v>6131445</v>
      </c>
      <c r="F56" s="106">
        <f t="shared" si="18"/>
        <v>797087.85</v>
      </c>
      <c r="G56" s="172">
        <f t="shared" si="13"/>
        <v>3985439.25</v>
      </c>
      <c r="H56" s="27">
        <f t="shared" si="19"/>
        <v>1454685326.25</v>
      </c>
      <c r="I56" s="172">
        <f t="shared" si="21"/>
        <v>10140000000</v>
      </c>
      <c r="J56" s="172">
        <f t="shared" si="22"/>
        <v>68530.176</v>
      </c>
      <c r="K56" s="172">
        <f t="shared" si="23"/>
        <v>200108113.92000002</v>
      </c>
      <c r="L56" s="172">
        <f t="shared" si="24"/>
        <v>2394.98688</v>
      </c>
      <c r="M56" s="172">
        <f t="shared" si="25"/>
        <v>19159.89504</v>
      </c>
      <c r="N56" s="225">
        <f t="shared" si="14"/>
        <v>6993361.6896</v>
      </c>
      <c r="O56" s="172">
        <f t="shared" si="26"/>
        <v>9633</v>
      </c>
      <c r="P56" s="172">
        <f t="shared" si="15"/>
        <v>3516045</v>
      </c>
      <c r="Q56" s="172">
        <f t="shared" si="27"/>
        <v>505120573.43285435</v>
      </c>
      <c r="R56" s="172">
        <f t="shared" si="20"/>
        <v>6061446881.194252</v>
      </c>
      <c r="S56" s="172"/>
      <c r="T56" s="172">
        <f t="shared" si="28"/>
        <v>3118901760</v>
      </c>
      <c r="U56" s="172">
        <f t="shared" si="29"/>
        <v>129686771.10969277</v>
      </c>
      <c r="V56" s="172">
        <f t="shared" si="30"/>
        <v>121680000</v>
      </c>
      <c r="W56" s="172">
        <f t="shared" si="16"/>
        <v>11097018259.163546</v>
      </c>
      <c r="X56" s="172">
        <f t="shared" si="31"/>
        <v>5548509129.581773</v>
      </c>
      <c r="Y56" s="172">
        <f t="shared" si="17"/>
        <v>1387127282.3954432</v>
      </c>
      <c r="Z56">
        <f t="shared" si="32"/>
        <v>1.827517944584209</v>
      </c>
    </row>
    <row r="57" spans="1:26" ht="12.75">
      <c r="A57" t="s">
        <v>590</v>
      </c>
      <c r="B57" t="s">
        <v>336</v>
      </c>
      <c r="C57">
        <v>558</v>
      </c>
      <c r="D57">
        <v>1744</v>
      </c>
      <c r="E57" s="241">
        <v>1810354</v>
      </c>
      <c r="F57" s="106">
        <f t="shared" si="18"/>
        <v>235346.02000000002</v>
      </c>
      <c r="G57" s="172">
        <f t="shared" si="13"/>
        <v>1176730.1</v>
      </c>
      <c r="H57" s="27">
        <f t="shared" si="19"/>
        <v>429506486.50000006</v>
      </c>
      <c r="I57" s="172">
        <f t="shared" si="21"/>
        <v>5580000000</v>
      </c>
      <c r="J57" s="172">
        <f t="shared" si="22"/>
        <v>37711.872</v>
      </c>
      <c r="K57" s="172">
        <f t="shared" si="23"/>
        <v>110118666.24000001</v>
      </c>
      <c r="L57" s="172">
        <f t="shared" si="24"/>
        <v>1317.95136</v>
      </c>
      <c r="M57" s="172">
        <f t="shared" si="25"/>
        <v>10543.61088</v>
      </c>
      <c r="N57" s="225">
        <f t="shared" si="14"/>
        <v>3848417.9712</v>
      </c>
      <c r="O57" s="172">
        <f t="shared" si="26"/>
        <v>5301</v>
      </c>
      <c r="P57" s="172">
        <f t="shared" si="15"/>
        <v>1934865</v>
      </c>
      <c r="Q57" s="172">
        <f t="shared" si="27"/>
        <v>277965759.34470683</v>
      </c>
      <c r="R57" s="172">
        <f t="shared" si="20"/>
        <v>3335589112.1364822</v>
      </c>
      <c r="S57" s="172"/>
      <c r="T57" s="172">
        <f t="shared" si="28"/>
        <v>1716318720</v>
      </c>
      <c r="U57" s="172">
        <f t="shared" si="29"/>
        <v>71366092.97752324</v>
      </c>
      <c r="V57" s="172">
        <f t="shared" si="30"/>
        <v>66960000</v>
      </c>
      <c r="W57" s="172">
        <f t="shared" si="16"/>
        <v>5735642360.825206</v>
      </c>
      <c r="X57" s="172">
        <f t="shared" si="31"/>
        <v>2867821180.412603</v>
      </c>
      <c r="Y57" s="172">
        <f t="shared" si="17"/>
        <v>716955295.1031507</v>
      </c>
      <c r="Z57">
        <f t="shared" si="32"/>
        <v>1.9457280105578922</v>
      </c>
    </row>
    <row r="58" spans="1:26" ht="12.75">
      <c r="A58" t="s">
        <v>591</v>
      </c>
      <c r="B58" t="s">
        <v>337</v>
      </c>
      <c r="C58">
        <v>920</v>
      </c>
      <c r="D58">
        <v>4219</v>
      </c>
      <c r="E58" s="241">
        <v>5472299</v>
      </c>
      <c r="F58" s="106">
        <f t="shared" si="18"/>
        <v>711398.87</v>
      </c>
      <c r="G58" s="172">
        <f t="shared" si="13"/>
        <v>3556994.35</v>
      </c>
      <c r="H58" s="27">
        <f t="shared" si="19"/>
        <v>1298302937.75</v>
      </c>
      <c r="I58" s="172">
        <f t="shared" si="21"/>
        <v>9200000000</v>
      </c>
      <c r="J58" s="172">
        <f t="shared" si="22"/>
        <v>62177.280000000006</v>
      </c>
      <c r="K58" s="172">
        <f t="shared" si="23"/>
        <v>181557657.60000002</v>
      </c>
      <c r="L58" s="172">
        <f t="shared" si="24"/>
        <v>2172.9664000000002</v>
      </c>
      <c r="M58" s="172">
        <f t="shared" si="25"/>
        <v>17383.731200000002</v>
      </c>
      <c r="N58" s="225">
        <f t="shared" si="14"/>
        <v>6345061.888</v>
      </c>
      <c r="O58" s="172">
        <f t="shared" si="26"/>
        <v>8740</v>
      </c>
      <c r="P58" s="172">
        <f t="shared" si="15"/>
        <v>3190100</v>
      </c>
      <c r="Q58" s="172">
        <f t="shared" si="27"/>
        <v>458294800.35328007</v>
      </c>
      <c r="R58" s="172">
        <f t="shared" si="20"/>
        <v>5499537604.239361</v>
      </c>
      <c r="S58" s="172"/>
      <c r="T58" s="172">
        <f t="shared" si="28"/>
        <v>2829772800</v>
      </c>
      <c r="U58" s="172">
        <f t="shared" si="29"/>
        <v>117664526.05613151</v>
      </c>
      <c r="V58" s="172">
        <f t="shared" si="30"/>
        <v>110400000</v>
      </c>
      <c r="W58" s="172">
        <f t="shared" si="16"/>
        <v>10046770687.533491</v>
      </c>
      <c r="X58" s="172">
        <f t="shared" si="31"/>
        <v>5023385343.766746</v>
      </c>
      <c r="Y58" s="172">
        <f t="shared" si="17"/>
        <v>1255846335.9416864</v>
      </c>
      <c r="Z58">
        <f t="shared" si="32"/>
        <v>1.8314342560671353</v>
      </c>
    </row>
    <row r="59" spans="1:26" ht="12.75">
      <c r="A59" t="s">
        <v>592</v>
      </c>
      <c r="B59" t="s">
        <v>338</v>
      </c>
      <c r="C59">
        <v>916</v>
      </c>
      <c r="D59">
        <v>2951</v>
      </c>
      <c r="E59" s="241">
        <v>501242</v>
      </c>
      <c r="F59" s="106">
        <f t="shared" si="18"/>
        <v>65161.46</v>
      </c>
      <c r="G59" s="172">
        <f t="shared" si="13"/>
        <v>325807.3</v>
      </c>
      <c r="H59" s="27">
        <f t="shared" si="19"/>
        <v>118919664.5</v>
      </c>
      <c r="I59" s="172">
        <f t="shared" si="21"/>
        <v>9160000000</v>
      </c>
      <c r="J59" s="172">
        <f t="shared" si="22"/>
        <v>61906.94400000001</v>
      </c>
      <c r="K59" s="172">
        <f t="shared" si="23"/>
        <v>180768276.48000002</v>
      </c>
      <c r="L59" s="172">
        <f t="shared" si="24"/>
        <v>2163.51872</v>
      </c>
      <c r="M59" s="172">
        <f t="shared" si="25"/>
        <v>17308.14976</v>
      </c>
      <c r="N59" s="225">
        <f t="shared" si="14"/>
        <v>6317474.6624</v>
      </c>
      <c r="O59" s="172">
        <f t="shared" si="26"/>
        <v>8702</v>
      </c>
      <c r="P59" s="172">
        <f t="shared" si="15"/>
        <v>3176230</v>
      </c>
      <c r="Q59" s="172">
        <f t="shared" si="27"/>
        <v>456302214.26478755</v>
      </c>
      <c r="R59" s="172">
        <f t="shared" si="20"/>
        <v>5475626571.17745</v>
      </c>
      <c r="S59" s="172"/>
      <c r="T59" s="172">
        <f t="shared" si="28"/>
        <v>2817469440</v>
      </c>
      <c r="U59" s="172">
        <f t="shared" si="29"/>
        <v>117152941.16023529</v>
      </c>
      <c r="V59" s="172">
        <f t="shared" si="30"/>
        <v>109920000</v>
      </c>
      <c r="W59" s="172">
        <f t="shared" si="16"/>
        <v>8829350597.980085</v>
      </c>
      <c r="X59" s="172">
        <f t="shared" si="31"/>
        <v>4414675298.990043</v>
      </c>
      <c r="Y59" s="172">
        <f t="shared" si="17"/>
        <v>1103668824.7475107</v>
      </c>
      <c r="Z59">
        <f t="shared" si="32"/>
        <v>2.074897785143011</v>
      </c>
    </row>
    <row r="60" spans="1:26" ht="13.5" thickBot="1">
      <c r="A60" t="s">
        <v>593</v>
      </c>
      <c r="B60" s="35" t="s">
        <v>339</v>
      </c>
      <c r="C60" s="35">
        <v>297</v>
      </c>
      <c r="D60" s="35">
        <v>400</v>
      </c>
      <c r="E60" s="242">
        <v>3878532</v>
      </c>
      <c r="F60" s="243">
        <f t="shared" si="18"/>
        <v>504209.16000000003</v>
      </c>
      <c r="G60" s="174">
        <f t="shared" si="13"/>
        <v>2521045.8000000003</v>
      </c>
      <c r="H60" s="37">
        <f t="shared" si="19"/>
        <v>920181717.0000001</v>
      </c>
      <c r="I60" s="174">
        <f t="shared" si="21"/>
        <v>2970000000</v>
      </c>
      <c r="J60" s="174">
        <f t="shared" si="22"/>
        <v>20072.448000000004</v>
      </c>
      <c r="K60" s="174">
        <f t="shared" si="23"/>
        <v>58611548.16000001</v>
      </c>
      <c r="L60" s="174">
        <f t="shared" si="24"/>
        <v>701.4902400000001</v>
      </c>
      <c r="M60" s="174">
        <f t="shared" si="25"/>
        <v>5611.921920000001</v>
      </c>
      <c r="N60" s="174">
        <f t="shared" si="14"/>
        <v>2048351.5008000003</v>
      </c>
      <c r="O60" s="174">
        <f t="shared" si="26"/>
        <v>2821.5</v>
      </c>
      <c r="P60" s="174">
        <f t="shared" si="15"/>
        <v>1029847.5</v>
      </c>
      <c r="Q60" s="174">
        <f t="shared" si="27"/>
        <v>147949517.07056975</v>
      </c>
      <c r="R60" s="174">
        <f t="shared" si="20"/>
        <v>1775394204.846837</v>
      </c>
      <c r="S60" s="174"/>
      <c r="T60" s="174">
        <f t="shared" si="28"/>
        <v>913524480</v>
      </c>
      <c r="U60" s="174">
        <f t="shared" si="29"/>
        <v>37985178.52029463</v>
      </c>
      <c r="V60" s="174">
        <f t="shared" si="30"/>
        <v>35640000</v>
      </c>
      <c r="W60" s="174">
        <f t="shared" si="16"/>
        <v>3744415327.5279317</v>
      </c>
      <c r="X60" s="174">
        <f t="shared" si="31"/>
        <v>1872207663.7639658</v>
      </c>
      <c r="Y60" s="174">
        <f t="shared" si="17"/>
        <v>468051915.94099146</v>
      </c>
      <c r="Z60" s="35">
        <f t="shared" si="32"/>
        <v>1.5863624839719894</v>
      </c>
    </row>
    <row r="61" spans="1:25" ht="12.75">
      <c r="A61" t="s">
        <v>396</v>
      </c>
      <c r="C61">
        <v>54740</v>
      </c>
      <c r="D61">
        <v>161417</v>
      </c>
      <c r="H61" s="27">
        <f>SUM(H9:H60)</f>
        <v>69914801310.25</v>
      </c>
      <c r="I61" s="172"/>
      <c r="J61" s="172"/>
      <c r="K61" s="172">
        <f>SUM(K9:K60)</f>
        <v>10802680627.199999</v>
      </c>
      <c r="L61" s="172"/>
      <c r="M61" s="172"/>
      <c r="N61" s="172">
        <f>SUM(N9:N60)</f>
        <v>377531182.336</v>
      </c>
      <c r="O61" s="172"/>
      <c r="P61" s="172">
        <f>SUM(P9:P60)</f>
        <v>189810950</v>
      </c>
      <c r="Q61" s="172"/>
      <c r="R61" s="172">
        <f>SUM(R9:R60)</f>
        <v>327222487452.24194</v>
      </c>
      <c r="S61" s="172"/>
      <c r="T61" s="172">
        <f>SUM(T9:T60)</f>
        <v>168371481600</v>
      </c>
      <c r="U61" s="172">
        <f>SUM(U8:U60)</f>
        <v>7001167196.563798</v>
      </c>
      <c r="V61" s="172">
        <f>SUM(V8:V60)</f>
        <v>6568920000</v>
      </c>
      <c r="W61" s="172">
        <f t="shared" si="16"/>
        <v>590448880318.5918</v>
      </c>
      <c r="X61" s="172">
        <f t="shared" si="31"/>
        <v>295224440159.2959</v>
      </c>
      <c r="Y61" s="172"/>
    </row>
    <row r="62" spans="1:26" s="213" customFormat="1" ht="24" customHeight="1">
      <c r="A62" s="213" t="s">
        <v>397</v>
      </c>
      <c r="F62" s="214"/>
      <c r="G62" s="214"/>
      <c r="H62" s="215">
        <f aca="true" t="shared" si="33" ref="H62:V62">SUM(H61/$W$61)</f>
        <v>0.11840957556313034</v>
      </c>
      <c r="I62" s="215"/>
      <c r="J62" s="215"/>
      <c r="K62" s="215">
        <f t="shared" si="33"/>
        <v>0.01829570854867425</v>
      </c>
      <c r="L62" s="215"/>
      <c r="M62" s="215"/>
      <c r="N62" s="215">
        <f t="shared" si="33"/>
        <v>0.0006393968977166887</v>
      </c>
      <c r="O62" s="215"/>
      <c r="P62" s="215">
        <f t="shared" si="33"/>
        <v>0.0003214688965073194</v>
      </c>
      <c r="Q62" s="215"/>
      <c r="R62" s="215">
        <f t="shared" si="33"/>
        <v>0.5541927478559714</v>
      </c>
      <c r="S62" s="215"/>
      <c r="T62" s="215">
        <f t="shared" si="33"/>
        <v>0.28515843998069884</v>
      </c>
      <c r="U62" s="215">
        <f t="shared" si="33"/>
        <v>0.011857363829339704</v>
      </c>
      <c r="V62" s="215">
        <f t="shared" si="33"/>
        <v>0.011125298427961403</v>
      </c>
      <c r="W62" s="215">
        <f>SUM(W61/$W$61)</f>
        <v>1</v>
      </c>
      <c r="X62" s="216"/>
      <c r="Y62" s="216"/>
      <c r="Z62" s="217"/>
    </row>
    <row r="63" spans="1:22" ht="12.75">
      <c r="A63" t="s">
        <v>525</v>
      </c>
      <c r="U63" s="218" t="s">
        <v>398</v>
      </c>
      <c r="V63" s="172">
        <f>SUM(W61-X61)</f>
        <v>295224440159.2959</v>
      </c>
    </row>
  </sheetData>
  <hyperlinks>
    <hyperlink ref="Q8" location="Advertising_Rev.month.per.mile" display="Advertising_Rev.month.per.mile"/>
  </hyperlinks>
  <printOptions/>
  <pageMargins left="0.75" right="0.75" top="1" bottom="1" header="0.5" footer="0.5"/>
  <pageSetup fitToWidth="2" fitToHeight="1" horizontalDpi="600" verticalDpi="600" orientation="landscape" scale="42" r:id="rId1"/>
  <ignoredErrors>
    <ignoredError sqref="O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B3" sqref="A3:B54"/>
    </sheetView>
  </sheetViews>
  <sheetFormatPr defaultColWidth="9.140625" defaultRowHeight="12.75"/>
  <sheetData>
    <row r="1" spans="1:7" ht="45">
      <c r="A1" s="233" t="s">
        <v>462</v>
      </c>
      <c r="B1" s="234" t="s">
        <v>463</v>
      </c>
      <c r="C1" s="234" t="s">
        <v>464</v>
      </c>
      <c r="D1" s="234" t="s">
        <v>465</v>
      </c>
      <c r="E1" s="234" t="s">
        <v>466</v>
      </c>
      <c r="F1" s="234" t="s">
        <v>467</v>
      </c>
      <c r="G1" s="235" t="s">
        <v>468</v>
      </c>
    </row>
    <row r="2" spans="1:7" ht="18">
      <c r="A2" s="236" t="s">
        <v>469</v>
      </c>
      <c r="B2" s="232">
        <v>290809777</v>
      </c>
      <c r="C2" s="232">
        <v>287973924</v>
      </c>
      <c r="D2" s="232">
        <v>285093813</v>
      </c>
      <c r="E2" s="232">
        <v>282177754</v>
      </c>
      <c r="F2" s="232">
        <v>281423231</v>
      </c>
      <c r="G2" s="237">
        <v>281421906</v>
      </c>
    </row>
    <row r="3" spans="1:7" ht="12.75">
      <c r="A3" s="236" t="s">
        <v>470</v>
      </c>
      <c r="B3" s="232">
        <v>4500752</v>
      </c>
      <c r="C3" s="232">
        <v>4478896</v>
      </c>
      <c r="D3" s="232">
        <v>4466440</v>
      </c>
      <c r="E3" s="232">
        <v>4451601</v>
      </c>
      <c r="F3" s="232">
        <v>4447100</v>
      </c>
      <c r="G3" s="237">
        <v>4447100</v>
      </c>
    </row>
    <row r="4" spans="1:7" ht="12.75">
      <c r="A4" s="236" t="s">
        <v>471</v>
      </c>
      <c r="B4" s="232">
        <v>648818</v>
      </c>
      <c r="C4" s="232">
        <v>641482</v>
      </c>
      <c r="D4" s="232">
        <v>632674</v>
      </c>
      <c r="E4" s="232">
        <v>627576</v>
      </c>
      <c r="F4" s="232">
        <v>626931</v>
      </c>
      <c r="G4" s="237">
        <v>626932</v>
      </c>
    </row>
    <row r="5" spans="1:7" ht="12.75">
      <c r="A5" s="236" t="s">
        <v>472</v>
      </c>
      <c r="B5" s="232">
        <v>5580811</v>
      </c>
      <c r="C5" s="232">
        <v>5441125</v>
      </c>
      <c r="D5" s="232">
        <v>5297684</v>
      </c>
      <c r="E5" s="232">
        <v>5165765</v>
      </c>
      <c r="F5" s="232">
        <v>5130632</v>
      </c>
      <c r="G5" s="237">
        <v>5130632</v>
      </c>
    </row>
    <row r="6" spans="1:7" ht="12.75">
      <c r="A6" s="236" t="s">
        <v>473</v>
      </c>
      <c r="B6" s="232">
        <v>2725714</v>
      </c>
      <c r="C6" s="232">
        <v>2706268</v>
      </c>
      <c r="D6" s="232">
        <v>2692041</v>
      </c>
      <c r="E6" s="232">
        <v>2678322</v>
      </c>
      <c r="F6" s="232">
        <v>2673398</v>
      </c>
      <c r="G6" s="237">
        <v>2673400</v>
      </c>
    </row>
    <row r="7" spans="1:7" ht="18">
      <c r="A7" s="236" t="s">
        <v>474</v>
      </c>
      <c r="B7" s="232">
        <v>35484453</v>
      </c>
      <c r="C7" s="232">
        <v>35001986</v>
      </c>
      <c r="D7" s="232">
        <v>34533054</v>
      </c>
      <c r="E7" s="232">
        <v>33999879</v>
      </c>
      <c r="F7" s="232">
        <v>33871653</v>
      </c>
      <c r="G7" s="237">
        <v>33871648</v>
      </c>
    </row>
    <row r="8" spans="1:7" ht="12.75">
      <c r="A8" s="236" t="s">
        <v>475</v>
      </c>
      <c r="B8" s="232">
        <v>4550688</v>
      </c>
      <c r="C8" s="232">
        <v>4501051</v>
      </c>
      <c r="D8" s="232">
        <v>4428786</v>
      </c>
      <c r="E8" s="232">
        <v>4326872</v>
      </c>
      <c r="F8" s="232">
        <v>4301997</v>
      </c>
      <c r="G8" s="237">
        <v>4301261</v>
      </c>
    </row>
    <row r="9" spans="1:7" ht="18">
      <c r="A9" s="236" t="s">
        <v>476</v>
      </c>
      <c r="B9" s="232">
        <v>3483372</v>
      </c>
      <c r="C9" s="232">
        <v>3458587</v>
      </c>
      <c r="D9" s="232">
        <v>3432550</v>
      </c>
      <c r="E9" s="232">
        <v>3411750</v>
      </c>
      <c r="F9" s="232">
        <v>3405584</v>
      </c>
      <c r="G9" s="237">
        <v>3405565</v>
      </c>
    </row>
    <row r="10" spans="1:7" ht="12.75">
      <c r="A10" s="236" t="s">
        <v>477</v>
      </c>
      <c r="B10" s="232">
        <v>817491</v>
      </c>
      <c r="C10" s="232">
        <v>805945</v>
      </c>
      <c r="D10" s="232">
        <v>795576</v>
      </c>
      <c r="E10" s="232">
        <v>786397</v>
      </c>
      <c r="F10" s="232">
        <v>783600</v>
      </c>
      <c r="G10" s="237">
        <v>783600</v>
      </c>
    </row>
    <row r="11" spans="1:7" ht="18">
      <c r="A11" s="236" t="s">
        <v>478</v>
      </c>
      <c r="B11" s="232">
        <v>563384</v>
      </c>
      <c r="C11" s="232">
        <v>569157</v>
      </c>
      <c r="D11" s="232">
        <v>572716</v>
      </c>
      <c r="E11" s="232">
        <v>571437</v>
      </c>
      <c r="F11" s="232">
        <v>572059</v>
      </c>
      <c r="G11" s="237">
        <v>572059</v>
      </c>
    </row>
    <row r="12" spans="1:7" ht="12.75">
      <c r="A12" s="236" t="s">
        <v>479</v>
      </c>
      <c r="B12" s="232">
        <v>17019068</v>
      </c>
      <c r="C12" s="232">
        <v>16691701</v>
      </c>
      <c r="D12" s="232">
        <v>16355193</v>
      </c>
      <c r="E12" s="232">
        <v>16047807</v>
      </c>
      <c r="F12" s="232">
        <v>15982820</v>
      </c>
      <c r="G12" s="237">
        <v>15982378</v>
      </c>
    </row>
    <row r="13" spans="1:7" ht="12.75">
      <c r="A13" s="236" t="s">
        <v>480</v>
      </c>
      <c r="B13" s="232">
        <v>8684715</v>
      </c>
      <c r="C13" s="232">
        <v>8544005</v>
      </c>
      <c r="D13" s="232">
        <v>8394795</v>
      </c>
      <c r="E13" s="232">
        <v>8230094</v>
      </c>
      <c r="F13" s="232">
        <v>8186517</v>
      </c>
      <c r="G13" s="237">
        <v>8186453</v>
      </c>
    </row>
    <row r="14" spans="1:7" ht="12.75">
      <c r="A14" s="236" t="s">
        <v>481</v>
      </c>
      <c r="B14" s="232">
        <v>1257608</v>
      </c>
      <c r="C14" s="232">
        <v>1240663</v>
      </c>
      <c r="D14" s="232">
        <v>1225038</v>
      </c>
      <c r="E14" s="232">
        <v>1212343</v>
      </c>
      <c r="F14" s="232">
        <v>1211537</v>
      </c>
      <c r="G14" s="237">
        <v>1211537</v>
      </c>
    </row>
    <row r="15" spans="1:7" ht="12.75">
      <c r="A15" s="236" t="s">
        <v>482</v>
      </c>
      <c r="B15" s="232">
        <v>1366332</v>
      </c>
      <c r="C15" s="232">
        <v>1343124</v>
      </c>
      <c r="D15" s="232">
        <v>1321309</v>
      </c>
      <c r="E15" s="232">
        <v>1299610</v>
      </c>
      <c r="F15" s="232">
        <v>1293956</v>
      </c>
      <c r="G15" s="237">
        <v>1293953</v>
      </c>
    </row>
    <row r="16" spans="1:7" ht="12.75">
      <c r="A16" s="236" t="s">
        <v>483</v>
      </c>
      <c r="B16" s="232">
        <v>12653544</v>
      </c>
      <c r="C16" s="232">
        <v>12586447</v>
      </c>
      <c r="D16" s="232">
        <v>12517168</v>
      </c>
      <c r="E16" s="232">
        <v>12438824</v>
      </c>
      <c r="F16" s="232">
        <v>12419570</v>
      </c>
      <c r="G16" s="237">
        <v>12419293</v>
      </c>
    </row>
    <row r="17" spans="1:7" ht="12.75">
      <c r="A17" s="236" t="s">
        <v>484</v>
      </c>
      <c r="B17" s="232">
        <v>6195643</v>
      </c>
      <c r="C17" s="232">
        <v>6156913</v>
      </c>
      <c r="D17" s="232">
        <v>6126470</v>
      </c>
      <c r="E17" s="232">
        <v>6091535</v>
      </c>
      <c r="F17" s="232">
        <v>6080506</v>
      </c>
      <c r="G17" s="237">
        <v>6080485</v>
      </c>
    </row>
    <row r="18" spans="1:7" ht="12.75">
      <c r="A18" s="236" t="s">
        <v>485</v>
      </c>
      <c r="B18" s="232">
        <v>2944062</v>
      </c>
      <c r="C18" s="232">
        <v>2935840</v>
      </c>
      <c r="D18" s="232">
        <v>2932225</v>
      </c>
      <c r="E18" s="232">
        <v>2928514</v>
      </c>
      <c r="F18" s="232">
        <v>2926382</v>
      </c>
      <c r="G18" s="237">
        <v>2926324</v>
      </c>
    </row>
    <row r="19" spans="1:7" ht="12.75">
      <c r="A19" s="236" t="s">
        <v>486</v>
      </c>
      <c r="B19" s="232">
        <v>2723507</v>
      </c>
      <c r="C19" s="232">
        <v>2711769</v>
      </c>
      <c r="D19" s="232">
        <v>2700453</v>
      </c>
      <c r="E19" s="232">
        <v>2692643</v>
      </c>
      <c r="F19" s="232">
        <v>2688814</v>
      </c>
      <c r="G19" s="237">
        <v>2688418</v>
      </c>
    </row>
    <row r="20" spans="1:7" ht="12.75">
      <c r="A20" s="236" t="s">
        <v>487</v>
      </c>
      <c r="B20" s="232">
        <v>4117827</v>
      </c>
      <c r="C20" s="232">
        <v>4089822</v>
      </c>
      <c r="D20" s="232">
        <v>4067336</v>
      </c>
      <c r="E20" s="232">
        <v>4048635</v>
      </c>
      <c r="F20" s="232">
        <v>4042209</v>
      </c>
      <c r="G20" s="237">
        <v>4041769</v>
      </c>
    </row>
    <row r="21" spans="1:7" ht="18">
      <c r="A21" s="236" t="s">
        <v>488</v>
      </c>
      <c r="B21" s="232">
        <v>4496334</v>
      </c>
      <c r="C21" s="232">
        <v>4476192</v>
      </c>
      <c r="D21" s="232">
        <v>4466001</v>
      </c>
      <c r="E21" s="232">
        <v>4469216</v>
      </c>
      <c r="F21" s="232">
        <v>4468958</v>
      </c>
      <c r="G21" s="237">
        <v>4468976</v>
      </c>
    </row>
    <row r="22" spans="1:7" ht="12.75">
      <c r="A22" s="236" t="s">
        <v>489</v>
      </c>
      <c r="B22" s="232">
        <v>1305728</v>
      </c>
      <c r="C22" s="232">
        <v>1294894</v>
      </c>
      <c r="D22" s="232">
        <v>1284691</v>
      </c>
      <c r="E22" s="232">
        <v>1277280</v>
      </c>
      <c r="F22" s="232">
        <v>1274923</v>
      </c>
      <c r="G22" s="237">
        <v>1274923</v>
      </c>
    </row>
    <row r="23" spans="1:7" ht="12.75">
      <c r="A23" s="236" t="s">
        <v>490</v>
      </c>
      <c r="B23" s="232">
        <v>5508909</v>
      </c>
      <c r="C23" s="232">
        <v>5450525</v>
      </c>
      <c r="D23" s="232">
        <v>5383377</v>
      </c>
      <c r="E23" s="232">
        <v>5311531</v>
      </c>
      <c r="F23" s="232">
        <v>5296485</v>
      </c>
      <c r="G23" s="237">
        <v>5296486</v>
      </c>
    </row>
    <row r="24" spans="1:7" ht="18">
      <c r="A24" s="236" t="s">
        <v>491</v>
      </c>
      <c r="B24" s="232">
        <v>6433422</v>
      </c>
      <c r="C24" s="232">
        <v>6421800</v>
      </c>
      <c r="D24" s="232">
        <v>6399869</v>
      </c>
      <c r="E24" s="232">
        <v>6362076</v>
      </c>
      <c r="F24" s="232">
        <v>6349097</v>
      </c>
      <c r="G24" s="237">
        <v>6349097</v>
      </c>
    </row>
    <row r="25" spans="1:7" ht="12.75">
      <c r="A25" s="236" t="s">
        <v>492</v>
      </c>
      <c r="B25" s="232">
        <v>10079985</v>
      </c>
      <c r="C25" s="232">
        <v>10043221</v>
      </c>
      <c r="D25" s="232">
        <v>10005218</v>
      </c>
      <c r="E25" s="232">
        <v>9955795</v>
      </c>
      <c r="F25" s="232">
        <v>9938480</v>
      </c>
      <c r="G25" s="237">
        <v>9938444</v>
      </c>
    </row>
    <row r="26" spans="1:7" ht="18">
      <c r="A26" s="236" t="s">
        <v>493</v>
      </c>
      <c r="B26" s="232">
        <v>5059375</v>
      </c>
      <c r="C26" s="232">
        <v>5024791</v>
      </c>
      <c r="D26" s="232">
        <v>4985202</v>
      </c>
      <c r="E26" s="232">
        <v>4933648</v>
      </c>
      <c r="F26" s="232">
        <v>4919485</v>
      </c>
      <c r="G26" s="237">
        <v>4919479</v>
      </c>
    </row>
    <row r="27" spans="1:7" ht="18">
      <c r="A27" s="236" t="s">
        <v>494</v>
      </c>
      <c r="B27" s="232">
        <v>2881281</v>
      </c>
      <c r="C27" s="232">
        <v>2866733</v>
      </c>
      <c r="D27" s="232">
        <v>2857716</v>
      </c>
      <c r="E27" s="232">
        <v>2848440</v>
      </c>
      <c r="F27" s="232">
        <v>2844656</v>
      </c>
      <c r="G27" s="237">
        <v>2844658</v>
      </c>
    </row>
    <row r="28" spans="1:7" ht="12.75">
      <c r="A28" s="236" t="s">
        <v>495</v>
      </c>
      <c r="B28" s="232">
        <v>5704484</v>
      </c>
      <c r="C28" s="232">
        <v>5669544</v>
      </c>
      <c r="D28" s="232">
        <v>5636220</v>
      </c>
      <c r="E28" s="232">
        <v>5605995</v>
      </c>
      <c r="F28" s="232">
        <v>5596683</v>
      </c>
      <c r="G28" s="237">
        <v>5595211</v>
      </c>
    </row>
    <row r="29" spans="1:7" ht="12.75">
      <c r="A29" s="236" t="s">
        <v>496</v>
      </c>
      <c r="B29" s="232">
        <v>917621</v>
      </c>
      <c r="C29" s="232">
        <v>910372</v>
      </c>
      <c r="D29" s="232">
        <v>905954</v>
      </c>
      <c r="E29" s="232">
        <v>903380</v>
      </c>
      <c r="F29" s="232">
        <v>902195</v>
      </c>
      <c r="G29" s="237">
        <v>902195</v>
      </c>
    </row>
    <row r="30" spans="1:7" ht="12.75">
      <c r="A30" s="236" t="s">
        <v>497</v>
      </c>
      <c r="B30" s="232">
        <v>1739291</v>
      </c>
      <c r="C30" s="232">
        <v>1727564</v>
      </c>
      <c r="D30" s="232">
        <v>1719000</v>
      </c>
      <c r="E30" s="232">
        <v>1713165</v>
      </c>
      <c r="F30" s="232">
        <v>1711265</v>
      </c>
      <c r="G30" s="237">
        <v>1711263</v>
      </c>
    </row>
    <row r="31" spans="1:7" ht="12.75">
      <c r="A31" s="236" t="s">
        <v>498</v>
      </c>
      <c r="B31" s="232">
        <v>2241154</v>
      </c>
      <c r="C31" s="232">
        <v>2167455</v>
      </c>
      <c r="D31" s="232">
        <v>2094633</v>
      </c>
      <c r="E31" s="232">
        <v>2018104</v>
      </c>
      <c r="F31" s="232">
        <v>1998257</v>
      </c>
      <c r="G31" s="237">
        <v>1998257</v>
      </c>
    </row>
    <row r="32" spans="1:7" ht="18">
      <c r="A32" s="236" t="s">
        <v>499</v>
      </c>
      <c r="B32" s="232">
        <v>1287687</v>
      </c>
      <c r="C32" s="232">
        <v>1274405</v>
      </c>
      <c r="D32" s="232">
        <v>1258974</v>
      </c>
      <c r="E32" s="232">
        <v>1240472</v>
      </c>
      <c r="F32" s="232">
        <v>1235786</v>
      </c>
      <c r="G32" s="237">
        <v>1235786</v>
      </c>
    </row>
    <row r="33" spans="1:7" ht="18">
      <c r="A33" s="236" t="s">
        <v>500</v>
      </c>
      <c r="B33" s="232">
        <v>8638396</v>
      </c>
      <c r="C33" s="232">
        <v>8575252</v>
      </c>
      <c r="D33" s="232">
        <v>8504114</v>
      </c>
      <c r="E33" s="232">
        <v>8432116</v>
      </c>
      <c r="F33" s="232">
        <v>8414347</v>
      </c>
      <c r="G33" s="237">
        <v>8414350</v>
      </c>
    </row>
    <row r="34" spans="1:7" ht="18">
      <c r="A34" s="236" t="s">
        <v>501</v>
      </c>
      <c r="B34" s="232">
        <v>1874614</v>
      </c>
      <c r="C34" s="232">
        <v>1852044</v>
      </c>
      <c r="D34" s="232">
        <v>1829110</v>
      </c>
      <c r="E34" s="232">
        <v>1821544</v>
      </c>
      <c r="F34" s="232">
        <v>1819046</v>
      </c>
      <c r="G34" s="237">
        <v>1819046</v>
      </c>
    </row>
    <row r="35" spans="1:7" ht="12.75">
      <c r="A35" s="236" t="s">
        <v>502</v>
      </c>
      <c r="B35" s="232">
        <v>19190115</v>
      </c>
      <c r="C35" s="232">
        <v>19134293</v>
      </c>
      <c r="D35" s="232">
        <v>19074843</v>
      </c>
      <c r="E35" s="232">
        <v>18997344</v>
      </c>
      <c r="F35" s="232">
        <v>18976821</v>
      </c>
      <c r="G35" s="237">
        <v>18976457</v>
      </c>
    </row>
    <row r="36" spans="1:7" ht="18">
      <c r="A36" s="236" t="s">
        <v>503</v>
      </c>
      <c r="B36" s="232">
        <v>8407248</v>
      </c>
      <c r="C36" s="232">
        <v>8305820</v>
      </c>
      <c r="D36" s="232">
        <v>8195249</v>
      </c>
      <c r="E36" s="232">
        <v>8077662</v>
      </c>
      <c r="F36" s="232">
        <v>8046451</v>
      </c>
      <c r="G36" s="237">
        <v>8049313</v>
      </c>
    </row>
    <row r="37" spans="1:7" ht="18">
      <c r="A37" s="236" t="s">
        <v>504</v>
      </c>
      <c r="B37" s="232">
        <v>633837</v>
      </c>
      <c r="C37" s="232">
        <v>633911</v>
      </c>
      <c r="D37" s="232">
        <v>636285</v>
      </c>
      <c r="E37" s="232">
        <v>641082</v>
      </c>
      <c r="F37" s="232">
        <v>642200</v>
      </c>
      <c r="G37" s="237">
        <v>642200</v>
      </c>
    </row>
    <row r="38" spans="1:7" ht="12.75">
      <c r="A38" s="236" t="s">
        <v>505</v>
      </c>
      <c r="B38" s="232">
        <v>11435798</v>
      </c>
      <c r="C38" s="232">
        <v>11408699</v>
      </c>
      <c r="D38" s="232">
        <v>11385833</v>
      </c>
      <c r="E38" s="232">
        <v>11363337</v>
      </c>
      <c r="F38" s="232">
        <v>11353143</v>
      </c>
      <c r="G38" s="237">
        <v>11353140</v>
      </c>
    </row>
    <row r="39" spans="1:7" ht="18">
      <c r="A39" s="236" t="s">
        <v>506</v>
      </c>
      <c r="B39" s="232">
        <v>3511532</v>
      </c>
      <c r="C39" s="232">
        <v>3489700</v>
      </c>
      <c r="D39" s="232">
        <v>3467181</v>
      </c>
      <c r="E39" s="232">
        <v>3453996</v>
      </c>
      <c r="F39" s="232">
        <v>3450654</v>
      </c>
      <c r="G39" s="237">
        <v>3450654</v>
      </c>
    </row>
    <row r="40" spans="1:7" ht="12.75">
      <c r="A40" s="236" t="s">
        <v>507</v>
      </c>
      <c r="B40" s="232">
        <v>3559596</v>
      </c>
      <c r="C40" s="232">
        <v>3520355</v>
      </c>
      <c r="D40" s="232">
        <v>3472629</v>
      </c>
      <c r="E40" s="232">
        <v>3430706</v>
      </c>
      <c r="F40" s="232">
        <v>3421432</v>
      </c>
      <c r="G40" s="237">
        <v>3421399</v>
      </c>
    </row>
    <row r="41" spans="1:7" ht="18">
      <c r="A41" s="236" t="s">
        <v>508</v>
      </c>
      <c r="B41" s="232">
        <v>12365455</v>
      </c>
      <c r="C41" s="232">
        <v>12328827</v>
      </c>
      <c r="D41" s="232">
        <v>12298363</v>
      </c>
      <c r="E41" s="232">
        <v>12285492</v>
      </c>
      <c r="F41" s="232">
        <v>12281054</v>
      </c>
      <c r="G41" s="237">
        <v>12281054</v>
      </c>
    </row>
    <row r="42" spans="1:7" ht="18">
      <c r="A42" s="236" t="s">
        <v>509</v>
      </c>
      <c r="B42" s="232">
        <v>1076164</v>
      </c>
      <c r="C42" s="232">
        <v>1068326</v>
      </c>
      <c r="D42" s="232">
        <v>1058992</v>
      </c>
      <c r="E42" s="232">
        <v>1050664</v>
      </c>
      <c r="F42" s="232">
        <v>1048319</v>
      </c>
      <c r="G42" s="237">
        <v>1048319</v>
      </c>
    </row>
    <row r="43" spans="1:7" ht="18">
      <c r="A43" s="236" t="s">
        <v>510</v>
      </c>
      <c r="B43" s="232">
        <v>4147152</v>
      </c>
      <c r="C43" s="232">
        <v>4103770</v>
      </c>
      <c r="D43" s="232">
        <v>4059818</v>
      </c>
      <c r="E43" s="232">
        <v>4023129</v>
      </c>
      <c r="F43" s="232">
        <v>4011848</v>
      </c>
      <c r="G43" s="237">
        <v>4012012</v>
      </c>
    </row>
    <row r="44" spans="1:7" ht="18">
      <c r="A44" s="236" t="s">
        <v>511</v>
      </c>
      <c r="B44" s="232">
        <v>764309</v>
      </c>
      <c r="C44" s="232">
        <v>760437</v>
      </c>
      <c r="D44" s="232">
        <v>758156</v>
      </c>
      <c r="E44" s="232">
        <v>755683</v>
      </c>
      <c r="F44" s="232">
        <v>754844</v>
      </c>
      <c r="G44" s="237">
        <v>754844</v>
      </c>
    </row>
    <row r="45" spans="1:7" ht="18">
      <c r="A45" s="236" t="s">
        <v>512</v>
      </c>
      <c r="B45" s="232">
        <v>5841748</v>
      </c>
      <c r="C45" s="232">
        <v>5789796</v>
      </c>
      <c r="D45" s="232">
        <v>5745808</v>
      </c>
      <c r="E45" s="232">
        <v>5702670</v>
      </c>
      <c r="F45" s="232">
        <v>5689262</v>
      </c>
      <c r="G45" s="237">
        <v>5689283</v>
      </c>
    </row>
    <row r="46" spans="1:7" ht="12.75">
      <c r="A46" s="236" t="s">
        <v>513</v>
      </c>
      <c r="B46" s="232">
        <v>22118509</v>
      </c>
      <c r="C46" s="232">
        <v>21736925</v>
      </c>
      <c r="D46" s="232">
        <v>21340598</v>
      </c>
      <c r="E46" s="232">
        <v>20949316</v>
      </c>
      <c r="F46" s="232">
        <v>20851790</v>
      </c>
      <c r="G46" s="237">
        <v>20851820</v>
      </c>
    </row>
    <row r="47" spans="1:7" ht="12.75">
      <c r="A47" s="236" t="s">
        <v>514</v>
      </c>
      <c r="B47" s="232">
        <v>2351467</v>
      </c>
      <c r="C47" s="232">
        <v>2318789</v>
      </c>
      <c r="D47" s="232">
        <v>2279590</v>
      </c>
      <c r="E47" s="232">
        <v>2243129</v>
      </c>
      <c r="F47" s="232">
        <v>2233198</v>
      </c>
      <c r="G47" s="237">
        <v>2233169</v>
      </c>
    </row>
    <row r="48" spans="1:7" ht="12.75">
      <c r="A48" s="236" t="s">
        <v>515</v>
      </c>
      <c r="B48" s="232">
        <v>619107</v>
      </c>
      <c r="C48" s="232">
        <v>616408</v>
      </c>
      <c r="D48" s="232">
        <v>612923</v>
      </c>
      <c r="E48" s="232">
        <v>609932</v>
      </c>
      <c r="F48" s="232">
        <v>608827</v>
      </c>
      <c r="G48" s="237">
        <v>608827</v>
      </c>
    </row>
    <row r="49" spans="1:7" ht="12.75">
      <c r="A49" s="236" t="s">
        <v>516</v>
      </c>
      <c r="B49" s="232">
        <v>7386330</v>
      </c>
      <c r="C49" s="232">
        <v>7287829</v>
      </c>
      <c r="D49" s="232">
        <v>7192697</v>
      </c>
      <c r="E49" s="232">
        <v>7104852</v>
      </c>
      <c r="F49" s="232">
        <v>7078483</v>
      </c>
      <c r="G49" s="237">
        <v>7078515</v>
      </c>
    </row>
    <row r="50" spans="1:7" ht="18">
      <c r="A50" s="236" t="s">
        <v>517</v>
      </c>
      <c r="B50" s="232">
        <v>6131445</v>
      </c>
      <c r="C50" s="232">
        <v>6067060</v>
      </c>
      <c r="D50" s="232">
        <v>5992760</v>
      </c>
      <c r="E50" s="232">
        <v>5911043</v>
      </c>
      <c r="F50" s="232">
        <v>5894141</v>
      </c>
      <c r="G50" s="237">
        <v>5894121</v>
      </c>
    </row>
    <row r="51" spans="1:7" ht="18">
      <c r="A51" s="236" t="s">
        <v>518</v>
      </c>
      <c r="B51" s="232">
        <v>1810354</v>
      </c>
      <c r="C51" s="232">
        <v>1804884</v>
      </c>
      <c r="D51" s="232">
        <v>1801641</v>
      </c>
      <c r="E51" s="232">
        <v>1807326</v>
      </c>
      <c r="F51" s="232">
        <v>1808350</v>
      </c>
      <c r="G51" s="237">
        <v>1808344</v>
      </c>
    </row>
    <row r="52" spans="1:7" ht="18">
      <c r="A52" s="236" t="s">
        <v>519</v>
      </c>
      <c r="B52" s="232">
        <v>5472299</v>
      </c>
      <c r="C52" s="232">
        <v>5439692</v>
      </c>
      <c r="D52" s="232">
        <v>5405140</v>
      </c>
      <c r="E52" s="232">
        <v>5373947</v>
      </c>
      <c r="F52" s="232">
        <v>5363704</v>
      </c>
      <c r="G52" s="237">
        <v>5363675</v>
      </c>
    </row>
    <row r="53" spans="1:7" ht="12.75">
      <c r="A53" s="236" t="s">
        <v>520</v>
      </c>
      <c r="B53" s="232">
        <v>501242</v>
      </c>
      <c r="C53" s="232">
        <v>498830</v>
      </c>
      <c r="D53" s="232">
        <v>493720</v>
      </c>
      <c r="E53" s="232">
        <v>494078</v>
      </c>
      <c r="F53" s="232">
        <v>493782</v>
      </c>
      <c r="G53" s="237">
        <v>493782</v>
      </c>
    </row>
    <row r="54" spans="1:7" ht="18.75" thickBot="1">
      <c r="A54" s="238" t="s">
        <v>521</v>
      </c>
      <c r="B54" s="239">
        <v>3878532</v>
      </c>
      <c r="C54" s="239">
        <v>3859523</v>
      </c>
      <c r="D54" s="239">
        <v>3839119</v>
      </c>
      <c r="E54" s="239">
        <v>3815909</v>
      </c>
      <c r="F54" s="239">
        <v>3808603</v>
      </c>
      <c r="G54" s="240">
        <v>3808610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Justin Sutton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Interstate Traveler Project</dc:title>
  <dc:subject>The Money</dc:subject>
  <dc:creator>Microsoft Corporation</dc:creator>
  <cp:keywords/>
  <dc:description/>
  <cp:lastModifiedBy>Justin Sutton</cp:lastModifiedBy>
  <cp:lastPrinted>2004-08-13T17:54:19Z</cp:lastPrinted>
  <dcterms:created xsi:type="dcterms:W3CDTF">1996-10-14T23:33:28Z</dcterms:created>
  <dcterms:modified xsi:type="dcterms:W3CDTF">2004-09-03T21:26:52Z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